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6185" yWindow="375" windowWidth="11070" windowHeight="11760" tabRatio="762" activeTab="10"/>
  </bookViews>
  <sheets>
    <sheet name="Project Description" sheetId="11" r:id="rId1"/>
    <sheet name="Procedures" sheetId="6" r:id="rId2"/>
    <sheet name="Reference diet formulas" sheetId="7" r:id="rId3"/>
    <sheet name="Nutrient Composition" sheetId="2" r:id="rId4"/>
    <sheet name="ADC's, Trout" sheetId="1" r:id="rId5"/>
    <sheet name="ADC's, HSB" sheetId="13" r:id="rId6"/>
    <sheet name="Total &amp; Dig, Trout" sheetId="12" r:id="rId7"/>
    <sheet name="Total &amp; Dig, HSB" sheetId="14" r:id="rId8"/>
    <sheet name="Anti-nutrients" sheetId="8" r:id="rId9"/>
    <sheet name="Acknowledgement" sheetId="9" r:id="rId10"/>
    <sheet name="Contact" sheetId="10" r:id="rId11"/>
  </sheets>
  <externalReferences>
    <externalReference r:id="rId12"/>
  </externalReferences>
  <definedNames>
    <definedName name="OLE_LINK10" localSheetId="10">Contact!$B$8</definedName>
    <definedName name="OLE_LINK2" localSheetId="9">Acknowledgement!$B$5</definedName>
    <definedName name="OLE_LINK30" localSheetId="10">Contact!$B$8</definedName>
    <definedName name="OLE_LINK31" localSheetId="9">Acknowledgement!$B$22</definedName>
    <definedName name="OLE_LINK32" localSheetId="4">'ADC''s, Trout'!$A$197</definedName>
    <definedName name="OLE_LINK34" localSheetId="9">Acknowledgement!$B$4</definedName>
    <definedName name="OLE_LINK42" localSheetId="0">'Project Description'!$B$5</definedName>
    <definedName name="OLE_LINK51" localSheetId="9">Acknowledgement!$B$23</definedName>
    <definedName name="OLE_LINK52" localSheetId="5">'ADC''s, HSB'!$A$59</definedName>
    <definedName name="OLE_LINK54" localSheetId="0">'Project Description'!$B$4</definedName>
    <definedName name="OLE_LINK57" localSheetId="0">'Project Description'!$B$6</definedName>
    <definedName name="OLE_LINK7" localSheetId="4">'ADC''s, Trout'!$A$198</definedName>
  </definedNames>
  <calcPr calcId="125725"/>
</workbook>
</file>

<file path=xl/calcChain.xml><?xml version="1.0" encoding="utf-8"?>
<calcChain xmlns="http://schemas.openxmlformats.org/spreadsheetml/2006/main">
  <c r="S142" i="12"/>
  <c r="S143"/>
  <c r="S144"/>
  <c r="S145"/>
  <c r="U142"/>
  <c r="U143"/>
  <c r="U144"/>
  <c r="U145"/>
  <c r="W142"/>
  <c r="W143"/>
  <c r="W144"/>
  <c r="W145"/>
  <c r="AO142"/>
  <c r="AO143"/>
  <c r="AO144"/>
  <c r="AO145"/>
  <c r="AM142"/>
  <c r="AM143"/>
  <c r="AM144"/>
  <c r="AM145"/>
  <c r="AK142"/>
  <c r="AK143"/>
  <c r="AK144"/>
  <c r="AK145"/>
  <c r="AI142"/>
  <c r="AI143"/>
  <c r="AI144"/>
  <c r="AI145"/>
  <c r="AG142"/>
  <c r="AG143"/>
  <c r="AG144"/>
  <c r="AG145"/>
  <c r="AE142"/>
  <c r="AE143"/>
  <c r="AE144"/>
  <c r="AE145"/>
  <c r="AC142"/>
  <c r="AC143"/>
  <c r="AC144"/>
  <c r="AC145"/>
  <c r="AA142"/>
  <c r="AA143"/>
  <c r="AA144"/>
  <c r="AA145"/>
  <c r="Y142"/>
  <c r="Y143"/>
  <c r="Y144"/>
  <c r="Y145"/>
  <c r="AQ142"/>
  <c r="AQ143"/>
  <c r="AQ144"/>
  <c r="AQ145"/>
  <c r="BA142"/>
  <c r="BA143"/>
  <c r="BA144"/>
  <c r="BA145"/>
  <c r="BA141"/>
  <c r="AQ141"/>
  <c r="AO141"/>
  <c r="AM141"/>
  <c r="AK141"/>
  <c r="AI141"/>
  <c r="AG141"/>
  <c r="AE141"/>
  <c r="AC141"/>
  <c r="AA141"/>
  <c r="Y141"/>
  <c r="W141"/>
  <c r="U141"/>
  <c r="S141"/>
  <c r="Q142"/>
  <c r="Q143"/>
  <c r="Q144"/>
  <c r="Q145"/>
  <c r="Q141"/>
  <c r="O142"/>
  <c r="O143"/>
  <c r="O144"/>
  <c r="O145"/>
  <c r="O141"/>
  <c r="M142"/>
  <c r="M143"/>
  <c r="M144"/>
  <c r="M145"/>
  <c r="M141"/>
  <c r="K142"/>
  <c r="K143"/>
  <c r="K144"/>
  <c r="K145"/>
  <c r="K141"/>
  <c r="G142"/>
  <c r="G143"/>
  <c r="G144"/>
  <c r="G145"/>
  <c r="G141"/>
  <c r="E142"/>
  <c r="E143"/>
  <c r="E144"/>
  <c r="E145"/>
  <c r="E141"/>
  <c r="C142"/>
  <c r="C143"/>
  <c r="C144"/>
  <c r="C145"/>
  <c r="C141"/>
  <c r="AX1"/>
  <c r="F2" i="14"/>
  <c r="F2" i="12"/>
  <c r="A3" i="1"/>
  <c r="I85" i="12" l="1"/>
  <c r="AN43" i="14" l="1"/>
  <c r="AO43" s="1"/>
  <c r="AN42"/>
  <c r="AO42" s="1"/>
  <c r="AN41"/>
  <c r="AO41" s="1"/>
  <c r="AN40"/>
  <c r="AO40" s="1"/>
  <c r="AN39"/>
  <c r="AO39" s="1"/>
  <c r="AN38"/>
  <c r="AO38" s="1"/>
  <c r="AN32"/>
  <c r="AO32" s="1"/>
  <c r="AN31"/>
  <c r="AO31" s="1"/>
  <c r="AN30"/>
  <c r="AO30" s="1"/>
  <c r="AN29"/>
  <c r="AO29" s="1"/>
  <c r="AN28"/>
  <c r="AO28" s="1"/>
  <c r="AN27"/>
  <c r="AO27" s="1"/>
  <c r="AN26"/>
  <c r="AO26" s="1"/>
  <c r="AN25"/>
  <c r="AO25" s="1"/>
  <c r="AN24"/>
  <c r="AO24" s="1"/>
  <c r="AN17"/>
  <c r="AO17" s="1"/>
  <c r="AN16"/>
  <c r="AO16" s="1"/>
  <c r="AN15"/>
  <c r="AO15" s="1"/>
  <c r="AN14"/>
  <c r="AO14" s="1"/>
  <c r="AN13"/>
  <c r="AO13" s="1"/>
  <c r="AN12"/>
  <c r="AO12" s="1"/>
  <c r="AN11"/>
  <c r="AO11" s="1"/>
  <c r="AN10"/>
  <c r="AO10" s="1"/>
  <c r="AN9"/>
  <c r="AO9" s="1"/>
  <c r="AN8"/>
  <c r="AO8" s="1"/>
  <c r="AN7"/>
  <c r="AO7" s="1"/>
  <c r="AL43"/>
  <c r="AM43" s="1"/>
  <c r="AL42"/>
  <c r="AM42" s="1"/>
  <c r="AL41"/>
  <c r="AM41" s="1"/>
  <c r="AL40"/>
  <c r="AM40" s="1"/>
  <c r="AL39"/>
  <c r="AM39" s="1"/>
  <c r="AL38"/>
  <c r="AM38" s="1"/>
  <c r="AL32"/>
  <c r="AM32" s="1"/>
  <c r="AL31"/>
  <c r="AM31" s="1"/>
  <c r="AL30"/>
  <c r="AM30" s="1"/>
  <c r="AL29"/>
  <c r="AM29" s="1"/>
  <c r="AL28"/>
  <c r="AM28" s="1"/>
  <c r="AL27"/>
  <c r="AM27" s="1"/>
  <c r="AL26"/>
  <c r="AM26" s="1"/>
  <c r="AL25"/>
  <c r="AM25" s="1"/>
  <c r="AL24"/>
  <c r="AM24" s="1"/>
  <c r="AL17"/>
  <c r="AM17" s="1"/>
  <c r="AL16"/>
  <c r="AM16" s="1"/>
  <c r="AL15"/>
  <c r="AM15" s="1"/>
  <c r="AL14"/>
  <c r="AM14" s="1"/>
  <c r="AL13"/>
  <c r="AM13" s="1"/>
  <c r="AL12"/>
  <c r="AM12"/>
  <c r="AL11"/>
  <c r="AM11" s="1"/>
  <c r="AL10"/>
  <c r="AM10" s="1"/>
  <c r="AL9"/>
  <c r="AM9" s="1"/>
  <c r="AL8"/>
  <c r="AM8" s="1"/>
  <c r="AL7"/>
  <c r="AM7" s="1"/>
  <c r="AJ43"/>
  <c r="AK43" s="1"/>
  <c r="AJ42"/>
  <c r="AK42" s="1"/>
  <c r="AJ41"/>
  <c r="AK41" s="1"/>
  <c r="AJ40"/>
  <c r="AK40" s="1"/>
  <c r="AJ39"/>
  <c r="AK39" s="1"/>
  <c r="AJ38"/>
  <c r="AK38" s="1"/>
  <c r="AJ32"/>
  <c r="AK32" s="1"/>
  <c r="AJ31"/>
  <c r="AK31" s="1"/>
  <c r="AJ30"/>
  <c r="AK30" s="1"/>
  <c r="AJ29"/>
  <c r="AK29" s="1"/>
  <c r="AJ28"/>
  <c r="AK28" s="1"/>
  <c r="AJ27"/>
  <c r="AK27" s="1"/>
  <c r="AJ26"/>
  <c r="AK26" s="1"/>
  <c r="AJ25"/>
  <c r="AK25" s="1"/>
  <c r="AJ24"/>
  <c r="AK24" s="1"/>
  <c r="AJ17"/>
  <c r="AK17" s="1"/>
  <c r="AJ16"/>
  <c r="AK16" s="1"/>
  <c r="AJ15"/>
  <c r="AK15" s="1"/>
  <c r="AJ14"/>
  <c r="AK14" s="1"/>
  <c r="AJ13"/>
  <c r="AK13" s="1"/>
  <c r="AJ12"/>
  <c r="AK12" s="1"/>
  <c r="AJ11"/>
  <c r="AK11" s="1"/>
  <c r="AJ10"/>
  <c r="AK10" s="1"/>
  <c r="AJ9"/>
  <c r="AK9" s="1"/>
  <c r="AJ8"/>
  <c r="AK8" s="1"/>
  <c r="AJ7"/>
  <c r="AK7" s="1"/>
  <c r="AH43"/>
  <c r="AI43" s="1"/>
  <c r="AH42"/>
  <c r="AI42" s="1"/>
  <c r="AH41"/>
  <c r="AI41" s="1"/>
  <c r="AH40"/>
  <c r="AI40" s="1"/>
  <c r="AH39"/>
  <c r="AI39" s="1"/>
  <c r="AH38"/>
  <c r="AI38" s="1"/>
  <c r="AH32"/>
  <c r="AI32" s="1"/>
  <c r="AH31"/>
  <c r="AI31" s="1"/>
  <c r="AH30"/>
  <c r="AI30" s="1"/>
  <c r="AH29"/>
  <c r="AI29" s="1"/>
  <c r="AH28"/>
  <c r="AI28" s="1"/>
  <c r="AH27"/>
  <c r="AI27" s="1"/>
  <c r="AH26"/>
  <c r="AI26" s="1"/>
  <c r="AH25"/>
  <c r="AI25" s="1"/>
  <c r="AH24"/>
  <c r="AI24" s="1"/>
  <c r="AH17"/>
  <c r="AI17" s="1"/>
  <c r="AH16"/>
  <c r="AI16" s="1"/>
  <c r="AH15"/>
  <c r="AI15" s="1"/>
  <c r="AH14"/>
  <c r="AI14" s="1"/>
  <c r="AH13"/>
  <c r="AI13" s="1"/>
  <c r="AH12"/>
  <c r="AI12" s="1"/>
  <c r="AH11"/>
  <c r="AI11" s="1"/>
  <c r="AH10"/>
  <c r="AI10" s="1"/>
  <c r="AH9"/>
  <c r="AI9" s="1"/>
  <c r="AH8"/>
  <c r="AI8" s="1"/>
  <c r="AH7"/>
  <c r="AI7" s="1"/>
  <c r="AD43"/>
  <c r="AE43" s="1"/>
  <c r="AD42"/>
  <c r="AE42" s="1"/>
  <c r="AD41"/>
  <c r="AE41" s="1"/>
  <c r="AD40"/>
  <c r="AE40" s="1"/>
  <c r="AD39"/>
  <c r="AE39" s="1"/>
  <c r="AD38"/>
  <c r="AE38" s="1"/>
  <c r="AD32"/>
  <c r="AE32" s="1"/>
  <c r="AD31"/>
  <c r="AE31" s="1"/>
  <c r="AD30"/>
  <c r="AE30" s="1"/>
  <c r="AD29"/>
  <c r="AE29" s="1"/>
  <c r="AD28"/>
  <c r="AE28" s="1"/>
  <c r="AD27"/>
  <c r="AE27" s="1"/>
  <c r="AD26"/>
  <c r="AE26" s="1"/>
  <c r="AD25"/>
  <c r="AE25" s="1"/>
  <c r="AD24"/>
  <c r="AE24" s="1"/>
  <c r="AD17"/>
  <c r="AE17" s="1"/>
  <c r="AD16"/>
  <c r="AE16" s="1"/>
  <c r="AD15"/>
  <c r="AE15" s="1"/>
  <c r="AD14"/>
  <c r="AE14" s="1"/>
  <c r="AD13"/>
  <c r="AE13" s="1"/>
  <c r="AD12"/>
  <c r="AE12" s="1"/>
  <c r="AD11"/>
  <c r="AE11" s="1"/>
  <c r="AD10"/>
  <c r="AE10" s="1"/>
  <c r="AD9"/>
  <c r="AE9" s="1"/>
  <c r="AD8"/>
  <c r="AE8" s="1"/>
  <c r="AD7"/>
  <c r="AE7" s="1"/>
  <c r="AB43"/>
  <c r="AC43" s="1"/>
  <c r="AB42"/>
  <c r="AC42" s="1"/>
  <c r="AB41"/>
  <c r="AC41" s="1"/>
  <c r="AB40"/>
  <c r="AC40" s="1"/>
  <c r="AB39"/>
  <c r="AC39" s="1"/>
  <c r="AB38"/>
  <c r="AC38" s="1"/>
  <c r="AB32"/>
  <c r="AC32" s="1"/>
  <c r="AB31"/>
  <c r="AC31" s="1"/>
  <c r="AB30"/>
  <c r="AC30" s="1"/>
  <c r="AB29"/>
  <c r="AC29" s="1"/>
  <c r="AB28"/>
  <c r="AC28" s="1"/>
  <c r="AB27"/>
  <c r="AC27" s="1"/>
  <c r="AB26"/>
  <c r="AC26" s="1"/>
  <c r="AB25"/>
  <c r="AC25" s="1"/>
  <c r="AB24"/>
  <c r="AC24" s="1"/>
  <c r="AB17"/>
  <c r="AC17" s="1"/>
  <c r="AB16"/>
  <c r="AC16" s="1"/>
  <c r="AB15"/>
  <c r="AC15" s="1"/>
  <c r="AB14"/>
  <c r="AC14" s="1"/>
  <c r="AB13"/>
  <c r="AC13" s="1"/>
  <c r="AB12"/>
  <c r="AC12" s="1"/>
  <c r="AB11"/>
  <c r="AC11" s="1"/>
  <c r="AB10"/>
  <c r="AC10" s="1"/>
  <c r="AB9"/>
  <c r="AC9" s="1"/>
  <c r="AB8"/>
  <c r="AC8" s="1"/>
  <c r="AB7"/>
  <c r="AC7" s="1"/>
  <c r="Z43"/>
  <c r="AA43" s="1"/>
  <c r="Z42"/>
  <c r="AA42" s="1"/>
  <c r="Z41"/>
  <c r="AA41" s="1"/>
  <c r="Z40"/>
  <c r="AA40" s="1"/>
  <c r="Z39"/>
  <c r="AA39" s="1"/>
  <c r="Z38"/>
  <c r="AA38" s="1"/>
  <c r="Z32"/>
  <c r="AA32" s="1"/>
  <c r="Z31"/>
  <c r="AA31" s="1"/>
  <c r="Z30"/>
  <c r="AA30" s="1"/>
  <c r="Z29"/>
  <c r="AA29" s="1"/>
  <c r="Z28"/>
  <c r="AA28" s="1"/>
  <c r="Z27"/>
  <c r="AA27" s="1"/>
  <c r="Z26"/>
  <c r="AA26" s="1"/>
  <c r="Z25"/>
  <c r="AA25" s="1"/>
  <c r="Z24"/>
  <c r="AA24" s="1"/>
  <c r="Z17"/>
  <c r="AA17" s="1"/>
  <c r="Z16"/>
  <c r="AA16" s="1"/>
  <c r="Z15"/>
  <c r="AA15" s="1"/>
  <c r="Z14"/>
  <c r="AA14" s="1"/>
  <c r="Z13"/>
  <c r="AA13" s="1"/>
  <c r="Z12"/>
  <c r="AA12" s="1"/>
  <c r="Z11"/>
  <c r="AA11" s="1"/>
  <c r="Z10"/>
  <c r="AA10" s="1"/>
  <c r="Z9"/>
  <c r="AA9" s="1"/>
  <c r="Z8"/>
  <c r="AA8" s="1"/>
  <c r="Z7"/>
  <c r="AA7" s="1"/>
  <c r="X43"/>
  <c r="Y43" s="1"/>
  <c r="X42"/>
  <c r="Y42" s="1"/>
  <c r="X41"/>
  <c r="Y41" s="1"/>
  <c r="X40"/>
  <c r="Y40" s="1"/>
  <c r="X39"/>
  <c r="Y39" s="1"/>
  <c r="X38"/>
  <c r="Y38" s="1"/>
  <c r="X32"/>
  <c r="Y32" s="1"/>
  <c r="X31"/>
  <c r="Y31" s="1"/>
  <c r="X30"/>
  <c r="Y30" s="1"/>
  <c r="X29"/>
  <c r="Y29" s="1"/>
  <c r="X28"/>
  <c r="Y28" s="1"/>
  <c r="X27"/>
  <c r="Y27" s="1"/>
  <c r="X26"/>
  <c r="Y26" s="1"/>
  <c r="X25"/>
  <c r="Y25" s="1"/>
  <c r="X24"/>
  <c r="Y24" s="1"/>
  <c r="X17"/>
  <c r="Y17" s="1"/>
  <c r="X16"/>
  <c r="Y16" s="1"/>
  <c r="X15"/>
  <c r="Y15" s="1"/>
  <c r="X14"/>
  <c r="Y14" s="1"/>
  <c r="X13"/>
  <c r="Y13" s="1"/>
  <c r="X12"/>
  <c r="Y12" s="1"/>
  <c r="X11"/>
  <c r="Y11" s="1"/>
  <c r="X10"/>
  <c r="Y10" s="1"/>
  <c r="X9"/>
  <c r="Y9" s="1"/>
  <c r="X8"/>
  <c r="Y8" s="1"/>
  <c r="X7"/>
  <c r="Y7" s="1"/>
  <c r="V43"/>
  <c r="W43" s="1"/>
  <c r="V42"/>
  <c r="W42" s="1"/>
  <c r="V41"/>
  <c r="W41" s="1"/>
  <c r="V40"/>
  <c r="W40" s="1"/>
  <c r="V39"/>
  <c r="W39" s="1"/>
  <c r="V38"/>
  <c r="W38" s="1"/>
  <c r="V32"/>
  <c r="W32" s="1"/>
  <c r="V31"/>
  <c r="W31" s="1"/>
  <c r="V30"/>
  <c r="W30" s="1"/>
  <c r="V29"/>
  <c r="W29" s="1"/>
  <c r="V28"/>
  <c r="W28" s="1"/>
  <c r="V27"/>
  <c r="W27" s="1"/>
  <c r="V26"/>
  <c r="W26" s="1"/>
  <c r="V25"/>
  <c r="W25" s="1"/>
  <c r="V24"/>
  <c r="W24" s="1"/>
  <c r="V17"/>
  <c r="W17" s="1"/>
  <c r="V16"/>
  <c r="W16" s="1"/>
  <c r="V15"/>
  <c r="W15" s="1"/>
  <c r="V14"/>
  <c r="W14" s="1"/>
  <c r="V13"/>
  <c r="W13" s="1"/>
  <c r="V12"/>
  <c r="W12" s="1"/>
  <c r="V11"/>
  <c r="W11" s="1"/>
  <c r="V10"/>
  <c r="W10" s="1"/>
  <c r="V9"/>
  <c r="W9" s="1"/>
  <c r="V8"/>
  <c r="W8" s="1"/>
  <c r="V7"/>
  <c r="W7" s="1"/>
  <c r="T43"/>
  <c r="U43" s="1"/>
  <c r="T42"/>
  <c r="U42" s="1"/>
  <c r="T41"/>
  <c r="U41" s="1"/>
  <c r="T40"/>
  <c r="U40" s="1"/>
  <c r="T39"/>
  <c r="U39" s="1"/>
  <c r="T38"/>
  <c r="U38" s="1"/>
  <c r="T32"/>
  <c r="U32" s="1"/>
  <c r="T31"/>
  <c r="U31" s="1"/>
  <c r="T30"/>
  <c r="U30" s="1"/>
  <c r="T29"/>
  <c r="U29" s="1"/>
  <c r="T28"/>
  <c r="U28" s="1"/>
  <c r="T27"/>
  <c r="U27" s="1"/>
  <c r="T26"/>
  <c r="U26" s="1"/>
  <c r="T25"/>
  <c r="U25" s="1"/>
  <c r="T24"/>
  <c r="U24" s="1"/>
  <c r="T17"/>
  <c r="U17" s="1"/>
  <c r="T16"/>
  <c r="U16" s="1"/>
  <c r="T15"/>
  <c r="U15" s="1"/>
  <c r="T14"/>
  <c r="U14" s="1"/>
  <c r="T13"/>
  <c r="U13" s="1"/>
  <c r="T12"/>
  <c r="U12" s="1"/>
  <c r="T11"/>
  <c r="U11" s="1"/>
  <c r="T10"/>
  <c r="U10" s="1"/>
  <c r="T9"/>
  <c r="U9" s="1"/>
  <c r="T8"/>
  <c r="U8" s="1"/>
  <c r="T7"/>
  <c r="U7" s="1"/>
  <c r="R43"/>
  <c r="S43" s="1"/>
  <c r="R42"/>
  <c r="S42" s="1"/>
  <c r="R41"/>
  <c r="S41" s="1"/>
  <c r="R40"/>
  <c r="S40" s="1"/>
  <c r="R39"/>
  <c r="S39" s="1"/>
  <c r="R38"/>
  <c r="S38" s="1"/>
  <c r="R32"/>
  <c r="S32" s="1"/>
  <c r="R31"/>
  <c r="S31" s="1"/>
  <c r="R30"/>
  <c r="S30" s="1"/>
  <c r="R29"/>
  <c r="S29" s="1"/>
  <c r="R28"/>
  <c r="S28" s="1"/>
  <c r="R27"/>
  <c r="S27" s="1"/>
  <c r="R26"/>
  <c r="S26" s="1"/>
  <c r="R25"/>
  <c r="S25" s="1"/>
  <c r="R24"/>
  <c r="S24" s="1"/>
  <c r="R17"/>
  <c r="S17" s="1"/>
  <c r="R16"/>
  <c r="S16" s="1"/>
  <c r="R15"/>
  <c r="S15" s="1"/>
  <c r="R14"/>
  <c r="S14" s="1"/>
  <c r="R13"/>
  <c r="S13" s="1"/>
  <c r="R12"/>
  <c r="S12" s="1"/>
  <c r="R11"/>
  <c r="S11" s="1"/>
  <c r="R10"/>
  <c r="S10" s="1"/>
  <c r="R9"/>
  <c r="S9" s="1"/>
  <c r="R8"/>
  <c r="S8" s="1"/>
  <c r="R7"/>
  <c r="S7" s="1"/>
  <c r="P43"/>
  <c r="Q43" s="1"/>
  <c r="P42"/>
  <c r="Q42" s="1"/>
  <c r="P41"/>
  <c r="Q41" s="1"/>
  <c r="P40"/>
  <c r="Q40" s="1"/>
  <c r="P39"/>
  <c r="Q39" s="1"/>
  <c r="P38"/>
  <c r="Q38" s="1"/>
  <c r="P32"/>
  <c r="Q32" s="1"/>
  <c r="P31"/>
  <c r="Q31" s="1"/>
  <c r="P30"/>
  <c r="Q30" s="1"/>
  <c r="P29"/>
  <c r="Q29" s="1"/>
  <c r="P28"/>
  <c r="Q28" s="1"/>
  <c r="P27"/>
  <c r="Q27" s="1"/>
  <c r="P26"/>
  <c r="Q26" s="1"/>
  <c r="P25"/>
  <c r="Q25" s="1"/>
  <c r="P24"/>
  <c r="Q24" s="1"/>
  <c r="P17"/>
  <c r="Q17" s="1"/>
  <c r="P16"/>
  <c r="Q16" s="1"/>
  <c r="P15"/>
  <c r="Q15" s="1"/>
  <c r="P14"/>
  <c r="Q14" s="1"/>
  <c r="P13"/>
  <c r="Q13" s="1"/>
  <c r="P12"/>
  <c r="Q12" s="1"/>
  <c r="P11"/>
  <c r="Q11" s="1"/>
  <c r="P10"/>
  <c r="Q10" s="1"/>
  <c r="P9"/>
  <c r="Q9" s="1"/>
  <c r="P8"/>
  <c r="Q8" s="1"/>
  <c r="P7"/>
  <c r="Q7" s="1"/>
  <c r="N43"/>
  <c r="O43" s="1"/>
  <c r="N42"/>
  <c r="O42" s="1"/>
  <c r="N41"/>
  <c r="O41" s="1"/>
  <c r="N40"/>
  <c r="O40" s="1"/>
  <c r="N39"/>
  <c r="O39" s="1"/>
  <c r="N38"/>
  <c r="O38" s="1"/>
  <c r="N32"/>
  <c r="O32" s="1"/>
  <c r="N31"/>
  <c r="O31" s="1"/>
  <c r="N30"/>
  <c r="O30" s="1"/>
  <c r="N29"/>
  <c r="O29" s="1"/>
  <c r="N28"/>
  <c r="O28" s="1"/>
  <c r="N27"/>
  <c r="O27" s="1"/>
  <c r="N26"/>
  <c r="O26" s="1"/>
  <c r="N25"/>
  <c r="O25" s="1"/>
  <c r="N24"/>
  <c r="O24" s="1"/>
  <c r="N17"/>
  <c r="O17" s="1"/>
  <c r="N16"/>
  <c r="O16" s="1"/>
  <c r="N15"/>
  <c r="O15" s="1"/>
  <c r="N14"/>
  <c r="O14" s="1"/>
  <c r="N13"/>
  <c r="O13" s="1"/>
  <c r="N12"/>
  <c r="O12" s="1"/>
  <c r="N11"/>
  <c r="O11" s="1"/>
  <c r="N10"/>
  <c r="O10" s="1"/>
  <c r="N9"/>
  <c r="O9" s="1"/>
  <c r="N8"/>
  <c r="O8" s="1"/>
  <c r="N7"/>
  <c r="O7" s="1"/>
  <c r="L43"/>
  <c r="M43" s="1"/>
  <c r="L42"/>
  <c r="M42" s="1"/>
  <c r="L41"/>
  <c r="M41" s="1"/>
  <c r="L40"/>
  <c r="M40" s="1"/>
  <c r="L39"/>
  <c r="M39" s="1"/>
  <c r="L38"/>
  <c r="M38" s="1"/>
  <c r="L32"/>
  <c r="M32" s="1"/>
  <c r="L31"/>
  <c r="M31" s="1"/>
  <c r="L30"/>
  <c r="M30" s="1"/>
  <c r="L29"/>
  <c r="M29" s="1"/>
  <c r="L28"/>
  <c r="M28" s="1"/>
  <c r="L27"/>
  <c r="M27" s="1"/>
  <c r="L26"/>
  <c r="M26" s="1"/>
  <c r="L25"/>
  <c r="M25" s="1"/>
  <c r="L24"/>
  <c r="M24" s="1"/>
  <c r="L17"/>
  <c r="M17" s="1"/>
  <c r="L16"/>
  <c r="M16" s="1"/>
  <c r="L15"/>
  <c r="M15" s="1"/>
  <c r="L14"/>
  <c r="M14" s="1"/>
  <c r="L13"/>
  <c r="M13" s="1"/>
  <c r="L12"/>
  <c r="M12" s="1"/>
  <c r="L11"/>
  <c r="M11" s="1"/>
  <c r="L10"/>
  <c r="M10" s="1"/>
  <c r="L9"/>
  <c r="M9" s="1"/>
  <c r="L8"/>
  <c r="M8" s="1"/>
  <c r="L7"/>
  <c r="M7" s="1"/>
  <c r="J43"/>
  <c r="K43" s="1"/>
  <c r="J42"/>
  <c r="K42" s="1"/>
  <c r="J41"/>
  <c r="K41" s="1"/>
  <c r="J40"/>
  <c r="K40" s="1"/>
  <c r="J39"/>
  <c r="K39" s="1"/>
  <c r="J38"/>
  <c r="K38" s="1"/>
  <c r="J32"/>
  <c r="K32" s="1"/>
  <c r="J31"/>
  <c r="K31" s="1"/>
  <c r="J30"/>
  <c r="K30" s="1"/>
  <c r="J29"/>
  <c r="K29" s="1"/>
  <c r="J28"/>
  <c r="K28" s="1"/>
  <c r="J27"/>
  <c r="K27" s="1"/>
  <c r="J26"/>
  <c r="K26" s="1"/>
  <c r="J25"/>
  <c r="K25" s="1"/>
  <c r="J24"/>
  <c r="K24" s="1"/>
  <c r="J17"/>
  <c r="K17" s="1"/>
  <c r="J16"/>
  <c r="K16" s="1"/>
  <c r="J15"/>
  <c r="K15" s="1"/>
  <c r="J14"/>
  <c r="K14" s="1"/>
  <c r="J13"/>
  <c r="K13" s="1"/>
  <c r="J12"/>
  <c r="K12" s="1"/>
  <c r="J11"/>
  <c r="K11" s="1"/>
  <c r="J10"/>
  <c r="K10" s="1"/>
  <c r="J9"/>
  <c r="K9" s="1"/>
  <c r="J8"/>
  <c r="K8" s="1"/>
  <c r="J7"/>
  <c r="K7" s="1"/>
  <c r="H43"/>
  <c r="I43" s="1"/>
  <c r="H42"/>
  <c r="I42" s="1"/>
  <c r="H41"/>
  <c r="I41" s="1"/>
  <c r="H40"/>
  <c r="I40" s="1"/>
  <c r="H39"/>
  <c r="I39" s="1"/>
  <c r="H38"/>
  <c r="I38" s="1"/>
  <c r="H32"/>
  <c r="I32" s="1"/>
  <c r="H31"/>
  <c r="I31" s="1"/>
  <c r="H30"/>
  <c r="I30" s="1"/>
  <c r="H29"/>
  <c r="I29" s="1"/>
  <c r="H28"/>
  <c r="I28" s="1"/>
  <c r="H27"/>
  <c r="I27" s="1"/>
  <c r="H26"/>
  <c r="I26" s="1"/>
  <c r="H25"/>
  <c r="I25" s="1"/>
  <c r="H24"/>
  <c r="I24" s="1"/>
  <c r="H17"/>
  <c r="I17" s="1"/>
  <c r="H16"/>
  <c r="I16" s="1"/>
  <c r="H15"/>
  <c r="I15" s="1"/>
  <c r="H14"/>
  <c r="I14" s="1"/>
  <c r="H13"/>
  <c r="I13" s="1"/>
  <c r="H12"/>
  <c r="I12" s="1"/>
  <c r="H11"/>
  <c r="I11" s="1"/>
  <c r="H10"/>
  <c r="I10" s="1"/>
  <c r="H9"/>
  <c r="I9" s="1"/>
  <c r="H8"/>
  <c r="I8" s="1"/>
  <c r="H7"/>
  <c r="I7" s="1"/>
  <c r="F43"/>
  <c r="G43" s="1"/>
  <c r="F42"/>
  <c r="G42" s="1"/>
  <c r="F41"/>
  <c r="G41" s="1"/>
  <c r="F40"/>
  <c r="G40" s="1"/>
  <c r="F39"/>
  <c r="G39" s="1"/>
  <c r="F38"/>
  <c r="G38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F8"/>
  <c r="G8" s="1"/>
  <c r="F7"/>
  <c r="G7" s="1"/>
  <c r="B39"/>
  <c r="C39" s="1"/>
  <c r="B40"/>
  <c r="C40" s="1"/>
  <c r="B41"/>
  <c r="C41" s="1"/>
  <c r="B42"/>
  <c r="C42" s="1"/>
  <c r="B43"/>
  <c r="C43" s="1"/>
  <c r="B38"/>
  <c r="C38" s="1"/>
  <c r="B25"/>
  <c r="C25" s="1"/>
  <c r="B26"/>
  <c r="C26" s="1"/>
  <c r="B27"/>
  <c r="C27" s="1"/>
  <c r="B28"/>
  <c r="C28" s="1"/>
  <c r="B29"/>
  <c r="C29" s="1"/>
  <c r="B30"/>
  <c r="C30" s="1"/>
  <c r="B31"/>
  <c r="C31" s="1"/>
  <c r="B32"/>
  <c r="C32" s="1"/>
  <c r="B24"/>
  <c r="C24" s="1"/>
  <c r="B8"/>
  <c r="C8" s="1"/>
  <c r="B9"/>
  <c r="C9" s="1"/>
  <c r="B10"/>
  <c r="C10" s="1"/>
  <c r="B11"/>
  <c r="C11" s="1"/>
  <c r="B12"/>
  <c r="C12" s="1"/>
  <c r="B13"/>
  <c r="C13" s="1"/>
  <c r="B14"/>
  <c r="C14" s="1"/>
  <c r="B15"/>
  <c r="C15" s="1"/>
  <c r="B16"/>
  <c r="C16" s="1"/>
  <c r="B17"/>
  <c r="C17" s="1"/>
  <c r="B7"/>
  <c r="C7" s="1"/>
  <c r="AF43"/>
  <c r="AF42"/>
  <c r="AF41"/>
  <c r="AF40"/>
  <c r="AF39"/>
  <c r="AF38"/>
  <c r="AF32"/>
  <c r="AF31"/>
  <c r="AF30"/>
  <c r="AF29"/>
  <c r="AF28"/>
  <c r="AF27"/>
  <c r="AF26"/>
  <c r="AF25"/>
  <c r="AF24"/>
  <c r="AF17"/>
  <c r="AF16"/>
  <c r="AF15"/>
  <c r="AF14"/>
  <c r="AF13"/>
  <c r="AF12"/>
  <c r="AF11"/>
  <c r="AF10"/>
  <c r="AF9"/>
  <c r="AF8"/>
  <c r="AF7"/>
  <c r="U48" i="13"/>
  <c r="T48"/>
  <c r="S48"/>
  <c r="R48"/>
  <c r="Q48"/>
  <c r="P48"/>
  <c r="O48"/>
  <c r="N48"/>
  <c r="M48"/>
  <c r="L48"/>
  <c r="K48"/>
  <c r="J48"/>
  <c r="I48"/>
  <c r="H48"/>
  <c r="G48"/>
  <c r="F48"/>
  <c r="E48"/>
  <c r="E52" s="1"/>
  <c r="U47"/>
  <c r="U52" s="1"/>
  <c r="U53" s="1"/>
  <c r="T47"/>
  <c r="S47"/>
  <c r="R47"/>
  <c r="Q47"/>
  <c r="P47"/>
  <c r="O47"/>
  <c r="O52" s="1"/>
  <c r="N47"/>
  <c r="M47"/>
  <c r="L47"/>
  <c r="K47"/>
  <c r="J47"/>
  <c r="I47"/>
  <c r="I52" s="1"/>
  <c r="H47"/>
  <c r="G47"/>
  <c r="F47"/>
  <c r="E47"/>
  <c r="U46"/>
  <c r="U51" s="1"/>
  <c r="T46"/>
  <c r="T51" s="1"/>
  <c r="S46"/>
  <c r="S51" s="1"/>
  <c r="S53" s="1"/>
  <c r="S52"/>
  <c r="R46"/>
  <c r="Q46"/>
  <c r="P46"/>
  <c r="P52" s="1"/>
  <c r="O46"/>
  <c r="N46"/>
  <c r="M46"/>
  <c r="M52" s="1"/>
  <c r="L46"/>
  <c r="L51" s="1"/>
  <c r="K46"/>
  <c r="K52" s="1"/>
  <c r="K53" s="1"/>
  <c r="J46"/>
  <c r="I46"/>
  <c r="H46"/>
  <c r="H52"/>
  <c r="H53" s="1"/>
  <c r="G46"/>
  <c r="G52" s="1"/>
  <c r="G53" s="1"/>
  <c r="F46"/>
  <c r="F52" s="1"/>
  <c r="F53" s="1"/>
  <c r="E46"/>
  <c r="E51" s="1"/>
  <c r="V41"/>
  <c r="V48"/>
  <c r="V40"/>
  <c r="V39"/>
  <c r="V38"/>
  <c r="V37"/>
  <c r="V36"/>
  <c r="V31"/>
  <c r="V47"/>
  <c r="V30"/>
  <c r="V29"/>
  <c r="V28"/>
  <c r="V27"/>
  <c r="V26"/>
  <c r="V25"/>
  <c r="V24"/>
  <c r="V23"/>
  <c r="V17"/>
  <c r="V46" s="1"/>
  <c r="V16"/>
  <c r="V15"/>
  <c r="V14"/>
  <c r="V13"/>
  <c r="V12"/>
  <c r="V11"/>
  <c r="V10"/>
  <c r="V9"/>
  <c r="V8"/>
  <c r="V7"/>
  <c r="J52"/>
  <c r="J53" s="1"/>
  <c r="N52"/>
  <c r="R52"/>
  <c r="Q52"/>
  <c r="J51"/>
  <c r="H51"/>
  <c r="N51"/>
  <c r="N53"/>
  <c r="G51"/>
  <c r="F51"/>
  <c r="R51"/>
  <c r="K51"/>
  <c r="Q51"/>
  <c r="Q53" s="1"/>
  <c r="BK44" i="12"/>
  <c r="BI44"/>
  <c r="BG44"/>
  <c r="BK43"/>
  <c r="BI43"/>
  <c r="BG43"/>
  <c r="BK42"/>
  <c r="BI42"/>
  <c r="BG42"/>
  <c r="BK41"/>
  <c r="BI41"/>
  <c r="BG41"/>
  <c r="BK40"/>
  <c r="BI40"/>
  <c r="BG40"/>
  <c r="BK39"/>
  <c r="BI39"/>
  <c r="BG39"/>
  <c r="BK38"/>
  <c r="BI38"/>
  <c r="BG38"/>
  <c r="BK37"/>
  <c r="BI37"/>
  <c r="BG37"/>
  <c r="BA15"/>
  <c r="BA12"/>
  <c r="BA11"/>
  <c r="BA10"/>
  <c r="BA9"/>
  <c r="BA8"/>
  <c r="V33" i="2"/>
  <c r="AP58" i="12"/>
  <c r="AP109"/>
  <c r="AQ109" s="1"/>
  <c r="AP110"/>
  <c r="AQ110"/>
  <c r="AP108"/>
  <c r="AQ108" s="1"/>
  <c r="AP107"/>
  <c r="AQ107" s="1"/>
  <c r="AP106"/>
  <c r="AP105"/>
  <c r="AQ105"/>
  <c r="AP104"/>
  <c r="AQ104" s="1"/>
  <c r="AP38"/>
  <c r="AP39"/>
  <c r="AP40"/>
  <c r="AP41"/>
  <c r="AP42"/>
  <c r="AP43"/>
  <c r="AP44"/>
  <c r="AP37"/>
  <c r="AQ37" s="1"/>
  <c r="AP51"/>
  <c r="AP52"/>
  <c r="AP53"/>
  <c r="AP54"/>
  <c r="AP55"/>
  <c r="AP56"/>
  <c r="AP57"/>
  <c r="AP50"/>
  <c r="AP135"/>
  <c r="AQ135" s="1"/>
  <c r="AP86"/>
  <c r="AP94"/>
  <c r="AQ94" s="1"/>
  <c r="AP95"/>
  <c r="AP96"/>
  <c r="AQ96" s="1"/>
  <c r="AP97"/>
  <c r="AQ97" s="1"/>
  <c r="AP93"/>
  <c r="AQ93" s="1"/>
  <c r="AP67"/>
  <c r="AQ67"/>
  <c r="AP68"/>
  <c r="AQ68"/>
  <c r="AP69"/>
  <c r="AQ69" s="1"/>
  <c r="AP70"/>
  <c r="AQ70"/>
  <c r="AP71"/>
  <c r="AQ71"/>
  <c r="AP72"/>
  <c r="AQ72" s="1"/>
  <c r="AP66"/>
  <c r="AP78"/>
  <c r="AP79"/>
  <c r="AP80"/>
  <c r="AP81"/>
  <c r="AP82"/>
  <c r="AP83"/>
  <c r="AP84"/>
  <c r="AP85"/>
  <c r="E128"/>
  <c r="E129"/>
  <c r="E130"/>
  <c r="E131"/>
  <c r="E132"/>
  <c r="E133"/>
  <c r="E134"/>
  <c r="E135"/>
  <c r="E127"/>
  <c r="E118"/>
  <c r="E119"/>
  <c r="E120"/>
  <c r="E117"/>
  <c r="E105"/>
  <c r="E106"/>
  <c r="E107"/>
  <c r="E108"/>
  <c r="E109"/>
  <c r="E110"/>
  <c r="E104"/>
  <c r="E94"/>
  <c r="E95"/>
  <c r="E96"/>
  <c r="E97"/>
  <c r="E93"/>
  <c r="E79"/>
  <c r="E80"/>
  <c r="E81"/>
  <c r="E82"/>
  <c r="E83"/>
  <c r="E84"/>
  <c r="E85"/>
  <c r="E86"/>
  <c r="E78"/>
  <c r="E67"/>
  <c r="E68"/>
  <c r="E69"/>
  <c r="E70"/>
  <c r="E71"/>
  <c r="E72"/>
  <c r="E66"/>
  <c r="E51"/>
  <c r="E52"/>
  <c r="E53"/>
  <c r="E54"/>
  <c r="E55"/>
  <c r="E56"/>
  <c r="E57"/>
  <c r="E58"/>
  <c r="E50"/>
  <c r="AG128"/>
  <c r="AG129"/>
  <c r="AG130"/>
  <c r="AG131"/>
  <c r="AG132"/>
  <c r="AG133"/>
  <c r="AG134"/>
  <c r="AG135"/>
  <c r="AG127"/>
  <c r="AG118"/>
  <c r="AG117"/>
  <c r="AG105"/>
  <c r="AG106"/>
  <c r="AG107"/>
  <c r="AG108"/>
  <c r="AG109"/>
  <c r="AG110"/>
  <c r="AG104"/>
  <c r="AG94"/>
  <c r="AG95"/>
  <c r="AG96"/>
  <c r="AG97"/>
  <c r="AG93"/>
  <c r="AG79"/>
  <c r="AG80"/>
  <c r="AG81"/>
  <c r="AG82"/>
  <c r="AG83"/>
  <c r="AG84"/>
  <c r="AG85"/>
  <c r="AG86"/>
  <c r="AG78"/>
  <c r="AG67"/>
  <c r="AG68"/>
  <c r="AG69"/>
  <c r="AG70"/>
  <c r="AG71"/>
  <c r="AG72"/>
  <c r="AG66"/>
  <c r="AG51"/>
  <c r="AG52"/>
  <c r="AG53"/>
  <c r="AG54"/>
  <c r="AG55"/>
  <c r="AG56"/>
  <c r="AG57"/>
  <c r="AG58"/>
  <c r="AG50"/>
  <c r="AG44"/>
  <c r="AG38"/>
  <c r="AG39"/>
  <c r="AG40"/>
  <c r="AG41"/>
  <c r="AG42"/>
  <c r="AG43"/>
  <c r="AG37"/>
  <c r="AQ106"/>
  <c r="V73" i="2"/>
  <c r="V74"/>
  <c r="V75"/>
  <c r="V76"/>
  <c r="V77"/>
  <c r="V78"/>
  <c r="V72"/>
  <c r="V39"/>
  <c r="BA67" i="12"/>
  <c r="BA68"/>
  <c r="BA69"/>
  <c r="BA70"/>
  <c r="BA71"/>
  <c r="BA72"/>
  <c r="BA79"/>
  <c r="BA80"/>
  <c r="BA81"/>
  <c r="BA82"/>
  <c r="BA83"/>
  <c r="BA84"/>
  <c r="BA85"/>
  <c r="BA86"/>
  <c r="BA94"/>
  <c r="BA95"/>
  <c r="BA96"/>
  <c r="BA97"/>
  <c r="BA105"/>
  <c r="BA106"/>
  <c r="BA107"/>
  <c r="BA108"/>
  <c r="BA109"/>
  <c r="BA110"/>
  <c r="BA118"/>
  <c r="BA119"/>
  <c r="BA120"/>
  <c r="AO132"/>
  <c r="BA117"/>
  <c r="BA104"/>
  <c r="BA93"/>
  <c r="BA78"/>
  <c r="BA66"/>
  <c r="BA51"/>
  <c r="BA52"/>
  <c r="BA53"/>
  <c r="BA54"/>
  <c r="BA55"/>
  <c r="BA56"/>
  <c r="BA57"/>
  <c r="BA58"/>
  <c r="BA50"/>
  <c r="BA38"/>
  <c r="BA39"/>
  <c r="BA40"/>
  <c r="BA41"/>
  <c r="BA42"/>
  <c r="BA43"/>
  <c r="BA44"/>
  <c r="BA37"/>
  <c r="R53" i="13"/>
  <c r="C128" i="12"/>
  <c r="C129"/>
  <c r="C130"/>
  <c r="C131"/>
  <c r="C132"/>
  <c r="C133"/>
  <c r="C134"/>
  <c r="C135"/>
  <c r="C127"/>
  <c r="C118"/>
  <c r="C119"/>
  <c r="C120"/>
  <c r="C117"/>
  <c r="C110"/>
  <c r="C105"/>
  <c r="C106"/>
  <c r="C107"/>
  <c r="C108"/>
  <c r="C109"/>
  <c r="C104"/>
  <c r="C94"/>
  <c r="C95"/>
  <c r="C96"/>
  <c r="C97"/>
  <c r="C93"/>
  <c r="C79"/>
  <c r="C80"/>
  <c r="C81"/>
  <c r="C82"/>
  <c r="C83"/>
  <c r="C84"/>
  <c r="C85"/>
  <c r="C86"/>
  <c r="C78"/>
  <c r="C67"/>
  <c r="C68"/>
  <c r="C69"/>
  <c r="C70"/>
  <c r="C71"/>
  <c r="C72"/>
  <c r="C66"/>
  <c r="C51"/>
  <c r="C52"/>
  <c r="C53"/>
  <c r="C54"/>
  <c r="C55"/>
  <c r="C56"/>
  <c r="C57"/>
  <c r="C58"/>
  <c r="C50"/>
  <c r="C38"/>
  <c r="C39"/>
  <c r="C40"/>
  <c r="C41"/>
  <c r="C42"/>
  <c r="C43"/>
  <c r="C44"/>
  <c r="C37"/>
  <c r="AO9"/>
  <c r="AO10"/>
  <c r="AO11"/>
  <c r="AO12"/>
  <c r="AO13"/>
  <c r="AO14"/>
  <c r="AO15"/>
  <c r="AO16"/>
  <c r="AO17"/>
  <c r="AO18"/>
  <c r="AO19"/>
  <c r="AO20"/>
  <c r="AO21"/>
  <c r="AO22"/>
  <c r="AO23"/>
  <c r="AO24"/>
  <c r="AO25"/>
  <c r="AO26"/>
  <c r="AO27"/>
  <c r="AO28"/>
  <c r="AO29"/>
  <c r="AO30"/>
  <c r="AO31"/>
  <c r="AO37"/>
  <c r="AO38"/>
  <c r="AO39"/>
  <c r="AO40"/>
  <c r="AO41"/>
  <c r="AO42"/>
  <c r="AO43"/>
  <c r="AO44"/>
  <c r="AO50"/>
  <c r="AO51"/>
  <c r="AO52"/>
  <c r="AO53"/>
  <c r="AO54"/>
  <c r="AO55"/>
  <c r="AO56"/>
  <c r="AO57"/>
  <c r="AO58"/>
  <c r="AO66"/>
  <c r="AO67"/>
  <c r="AO68"/>
  <c r="AO69"/>
  <c r="AO70"/>
  <c r="AO71"/>
  <c r="AO72"/>
  <c r="AO78"/>
  <c r="AO79"/>
  <c r="AO80"/>
  <c r="AO81"/>
  <c r="AO82"/>
  <c r="AO83"/>
  <c r="AO84"/>
  <c r="AO85"/>
  <c r="AO86"/>
  <c r="AO93"/>
  <c r="AO94"/>
  <c r="AO95"/>
  <c r="AO96"/>
  <c r="AO97"/>
  <c r="AO104"/>
  <c r="AO105"/>
  <c r="AO106"/>
  <c r="AO107"/>
  <c r="AO108"/>
  <c r="AO109"/>
  <c r="AO110"/>
  <c r="AO117"/>
  <c r="AO118"/>
  <c r="AO127"/>
  <c r="AO128"/>
  <c r="AO129"/>
  <c r="AO130"/>
  <c r="AO131"/>
  <c r="AO133"/>
  <c r="AO134"/>
  <c r="AO135"/>
  <c r="AM9"/>
  <c r="AM10"/>
  <c r="AM11"/>
  <c r="AM12"/>
  <c r="AM13"/>
  <c r="AM14"/>
  <c r="AM15"/>
  <c r="AM16"/>
  <c r="AM17"/>
  <c r="AM18"/>
  <c r="AM19"/>
  <c r="AM20"/>
  <c r="AM21"/>
  <c r="AM22"/>
  <c r="AM23"/>
  <c r="AM24"/>
  <c r="AM25"/>
  <c r="AM26"/>
  <c r="AM27"/>
  <c r="AM28"/>
  <c r="AM29"/>
  <c r="AM30"/>
  <c r="AM31"/>
  <c r="AM37"/>
  <c r="AM38"/>
  <c r="AM39"/>
  <c r="AM40"/>
  <c r="AM41"/>
  <c r="AM42"/>
  <c r="AM43"/>
  <c r="AM44"/>
  <c r="AM50"/>
  <c r="AM51"/>
  <c r="AM52"/>
  <c r="AM53"/>
  <c r="AM54"/>
  <c r="AM55"/>
  <c r="AM56"/>
  <c r="AM57"/>
  <c r="AM58"/>
  <c r="AM66"/>
  <c r="AM67"/>
  <c r="AM68"/>
  <c r="AM69"/>
  <c r="AM70"/>
  <c r="AM71"/>
  <c r="AM72"/>
  <c r="AM78"/>
  <c r="AM79"/>
  <c r="AM80"/>
  <c r="AM81"/>
  <c r="AM82"/>
  <c r="AM83"/>
  <c r="AM84"/>
  <c r="AM85"/>
  <c r="AM86"/>
  <c r="AM93"/>
  <c r="AM94"/>
  <c r="AM95"/>
  <c r="AM96"/>
  <c r="AM97"/>
  <c r="AM104"/>
  <c r="AM105"/>
  <c r="AM106"/>
  <c r="AM107"/>
  <c r="AM108"/>
  <c r="AM109"/>
  <c r="AM110"/>
  <c r="AM117"/>
  <c r="AM118"/>
  <c r="AM127"/>
  <c r="AM128"/>
  <c r="AM129"/>
  <c r="AM130"/>
  <c r="AM131"/>
  <c r="AM132"/>
  <c r="AM133"/>
  <c r="AM134"/>
  <c r="AM135"/>
  <c r="AK9"/>
  <c r="AK10"/>
  <c r="AK11"/>
  <c r="AK12"/>
  <c r="AK13"/>
  <c r="AK14"/>
  <c r="AK15"/>
  <c r="AK16"/>
  <c r="AK17"/>
  <c r="AK18"/>
  <c r="AK19"/>
  <c r="AK20"/>
  <c r="AK21"/>
  <c r="AK22"/>
  <c r="AK23"/>
  <c r="AK24"/>
  <c r="AK25"/>
  <c r="AK26"/>
  <c r="AK27"/>
  <c r="AK28"/>
  <c r="AK29"/>
  <c r="AK30"/>
  <c r="AK31"/>
  <c r="AK37"/>
  <c r="AK38"/>
  <c r="AK39"/>
  <c r="AK40"/>
  <c r="AK41"/>
  <c r="AK42"/>
  <c r="AK43"/>
  <c r="AK44"/>
  <c r="AK50"/>
  <c r="AK51"/>
  <c r="AK52"/>
  <c r="AK53"/>
  <c r="AK54"/>
  <c r="AK55"/>
  <c r="AK56"/>
  <c r="AK57"/>
  <c r="AK58"/>
  <c r="AK66"/>
  <c r="AK67"/>
  <c r="AK68"/>
  <c r="AK69"/>
  <c r="AK70"/>
  <c r="AK71"/>
  <c r="AK72"/>
  <c r="AK78"/>
  <c r="AK79"/>
  <c r="AK80"/>
  <c r="AK81"/>
  <c r="AK82"/>
  <c r="AK83"/>
  <c r="AK84"/>
  <c r="AK85"/>
  <c r="AK86"/>
  <c r="AK93"/>
  <c r="AK94"/>
  <c r="AK95"/>
  <c r="AK96"/>
  <c r="AK97"/>
  <c r="AK104"/>
  <c r="AK105"/>
  <c r="AK106"/>
  <c r="AK107"/>
  <c r="AK108"/>
  <c r="AK109"/>
  <c r="AK110"/>
  <c r="AK117"/>
  <c r="AK118"/>
  <c r="AK127"/>
  <c r="AK128"/>
  <c r="AK129"/>
  <c r="AK130"/>
  <c r="AK131"/>
  <c r="AK132"/>
  <c r="AK133"/>
  <c r="AK134"/>
  <c r="AK135"/>
  <c r="AI9"/>
  <c r="AI10"/>
  <c r="AI11"/>
  <c r="AI12"/>
  <c r="AI13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7"/>
  <c r="AI38"/>
  <c r="AI39"/>
  <c r="AI40"/>
  <c r="AI41"/>
  <c r="AI42"/>
  <c r="AI43"/>
  <c r="AI44"/>
  <c r="AI50"/>
  <c r="AI51"/>
  <c r="AI52"/>
  <c r="AI53"/>
  <c r="AI54"/>
  <c r="AI55"/>
  <c r="AI56"/>
  <c r="AI57"/>
  <c r="AI58"/>
  <c r="AI66"/>
  <c r="AI67"/>
  <c r="AI68"/>
  <c r="AI69"/>
  <c r="AI70"/>
  <c r="AI71"/>
  <c r="AI72"/>
  <c r="AI78"/>
  <c r="AI79"/>
  <c r="AI80"/>
  <c r="AI81"/>
  <c r="AI82"/>
  <c r="AI83"/>
  <c r="AI84"/>
  <c r="AI85"/>
  <c r="AI86"/>
  <c r="AI93"/>
  <c r="AI94"/>
  <c r="AI95"/>
  <c r="AI96"/>
  <c r="AI97"/>
  <c r="AI104"/>
  <c r="AI105"/>
  <c r="AI106"/>
  <c r="AI107"/>
  <c r="AI108"/>
  <c r="AI109"/>
  <c r="AI110"/>
  <c r="AI117"/>
  <c r="AI118"/>
  <c r="AI127"/>
  <c r="AI128"/>
  <c r="AI129"/>
  <c r="AI130"/>
  <c r="AI131"/>
  <c r="AI132"/>
  <c r="AI133"/>
  <c r="AI134"/>
  <c r="AI135"/>
  <c r="AE9"/>
  <c r="AE10"/>
  <c r="AE11"/>
  <c r="AE12"/>
  <c r="AE13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7"/>
  <c r="AE38"/>
  <c r="AE39"/>
  <c r="AE40"/>
  <c r="AE41"/>
  <c r="AE42"/>
  <c r="AE43"/>
  <c r="AE44"/>
  <c r="AE50"/>
  <c r="AE51"/>
  <c r="AE52"/>
  <c r="AE53"/>
  <c r="AE54"/>
  <c r="AE55"/>
  <c r="AE56"/>
  <c r="AE57"/>
  <c r="AE58"/>
  <c r="AE66"/>
  <c r="AE67"/>
  <c r="AE68"/>
  <c r="AE69"/>
  <c r="AE70"/>
  <c r="AE71"/>
  <c r="AE72"/>
  <c r="AE78"/>
  <c r="AE79"/>
  <c r="AE80"/>
  <c r="AE81"/>
  <c r="AE82"/>
  <c r="AE83"/>
  <c r="AE84"/>
  <c r="AE85"/>
  <c r="AE86"/>
  <c r="AE93"/>
  <c r="AE94"/>
  <c r="AE95"/>
  <c r="AE96"/>
  <c r="AE97"/>
  <c r="AE104"/>
  <c r="AE105"/>
  <c r="AE106"/>
  <c r="AE107"/>
  <c r="AE108"/>
  <c r="AE109"/>
  <c r="AE110"/>
  <c r="AE117"/>
  <c r="AE118"/>
  <c r="AE127"/>
  <c r="AE128"/>
  <c r="AE129"/>
  <c r="AE130"/>
  <c r="AE131"/>
  <c r="AE132"/>
  <c r="AE133"/>
  <c r="AE134"/>
  <c r="AE135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7"/>
  <c r="AC38"/>
  <c r="AC39"/>
  <c r="AC40"/>
  <c r="AC41"/>
  <c r="AC42"/>
  <c r="AC43"/>
  <c r="AC44"/>
  <c r="AC50"/>
  <c r="AC51"/>
  <c r="AC52"/>
  <c r="AC53"/>
  <c r="AC54"/>
  <c r="AC55"/>
  <c r="AC56"/>
  <c r="AC57"/>
  <c r="AC58"/>
  <c r="AC66"/>
  <c r="AC67"/>
  <c r="AC68"/>
  <c r="AC69"/>
  <c r="AC70"/>
  <c r="AC71"/>
  <c r="AC72"/>
  <c r="AC78"/>
  <c r="AC79"/>
  <c r="AC80"/>
  <c r="AC81"/>
  <c r="AC82"/>
  <c r="AC83"/>
  <c r="AC84"/>
  <c r="AC85"/>
  <c r="AC86"/>
  <c r="AC93"/>
  <c r="AC94"/>
  <c r="AC95"/>
  <c r="AC96"/>
  <c r="AC97"/>
  <c r="AC104"/>
  <c r="AC105"/>
  <c r="AC106"/>
  <c r="AC107"/>
  <c r="AC108"/>
  <c r="AC109"/>
  <c r="AC110"/>
  <c r="AC117"/>
  <c r="AC118"/>
  <c r="AC127"/>
  <c r="AC128"/>
  <c r="AC129"/>
  <c r="AC130"/>
  <c r="AC131"/>
  <c r="AC132"/>
  <c r="AC133"/>
  <c r="AC134"/>
  <c r="AC135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7"/>
  <c r="AA38"/>
  <c r="AA39"/>
  <c r="AA40"/>
  <c r="AA41"/>
  <c r="AA42"/>
  <c r="AA43"/>
  <c r="AA44"/>
  <c r="AA50"/>
  <c r="AA51"/>
  <c r="AA52"/>
  <c r="AA53"/>
  <c r="AA54"/>
  <c r="AA55"/>
  <c r="AA56"/>
  <c r="AA57"/>
  <c r="AA58"/>
  <c r="AA66"/>
  <c r="AA67"/>
  <c r="AA68"/>
  <c r="AA69"/>
  <c r="AA70"/>
  <c r="AA71"/>
  <c r="AA72"/>
  <c r="AA78"/>
  <c r="AA79"/>
  <c r="AA80"/>
  <c r="AA81"/>
  <c r="AA82"/>
  <c r="AA83"/>
  <c r="AA84"/>
  <c r="AA85"/>
  <c r="AA86"/>
  <c r="AA93"/>
  <c r="AA94"/>
  <c r="AA95"/>
  <c r="AA96"/>
  <c r="AA97"/>
  <c r="AA104"/>
  <c r="AA105"/>
  <c r="AA106"/>
  <c r="AA107"/>
  <c r="AA108"/>
  <c r="AA109"/>
  <c r="AA110"/>
  <c r="AA117"/>
  <c r="AA118"/>
  <c r="AA127"/>
  <c r="AA128"/>
  <c r="AA129"/>
  <c r="AA130"/>
  <c r="AA131"/>
  <c r="AA132"/>
  <c r="AA133"/>
  <c r="AA134"/>
  <c r="AA135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7"/>
  <c r="Y38"/>
  <c r="Y39"/>
  <c r="Y40"/>
  <c r="Y41"/>
  <c r="Y42"/>
  <c r="Y43"/>
  <c r="Y44"/>
  <c r="Y50"/>
  <c r="Y51"/>
  <c r="Y52"/>
  <c r="Y53"/>
  <c r="Y54"/>
  <c r="Y55"/>
  <c r="Y56"/>
  <c r="Y57"/>
  <c r="Y58"/>
  <c r="Y66"/>
  <c r="Y67"/>
  <c r="Y68"/>
  <c r="Y69"/>
  <c r="Y70"/>
  <c r="Y71"/>
  <c r="Y72"/>
  <c r="Y78"/>
  <c r="Y79"/>
  <c r="Y80"/>
  <c r="Y81"/>
  <c r="Y82"/>
  <c r="Y83"/>
  <c r="Y84"/>
  <c r="Y85"/>
  <c r="Y86"/>
  <c r="Y93"/>
  <c r="Y94"/>
  <c r="Y95"/>
  <c r="Y96"/>
  <c r="Y97"/>
  <c r="Y104"/>
  <c r="Y105"/>
  <c r="Y106"/>
  <c r="Y107"/>
  <c r="Y108"/>
  <c r="Y109"/>
  <c r="Y110"/>
  <c r="Y117"/>
  <c r="Y118"/>
  <c r="Y127"/>
  <c r="Y128"/>
  <c r="Y129"/>
  <c r="Y130"/>
  <c r="Y131"/>
  <c r="Y132"/>
  <c r="Y133"/>
  <c r="Y134"/>
  <c r="Y135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7"/>
  <c r="W38"/>
  <c r="W39"/>
  <c r="W40"/>
  <c r="W41"/>
  <c r="W42"/>
  <c r="W43"/>
  <c r="W44"/>
  <c r="W50"/>
  <c r="W51"/>
  <c r="W52"/>
  <c r="W53"/>
  <c r="W54"/>
  <c r="W55"/>
  <c r="W56"/>
  <c r="W57"/>
  <c r="W58"/>
  <c r="W66"/>
  <c r="W67"/>
  <c r="W68"/>
  <c r="W69"/>
  <c r="W70"/>
  <c r="W71"/>
  <c r="W72"/>
  <c r="W78"/>
  <c r="W79"/>
  <c r="W80"/>
  <c r="W81"/>
  <c r="W82"/>
  <c r="W83"/>
  <c r="W84"/>
  <c r="W85"/>
  <c r="W86"/>
  <c r="W93"/>
  <c r="W94"/>
  <c r="W95"/>
  <c r="W96"/>
  <c r="W97"/>
  <c r="W104"/>
  <c r="W105"/>
  <c r="W106"/>
  <c r="W107"/>
  <c r="W108"/>
  <c r="W109"/>
  <c r="W110"/>
  <c r="W117"/>
  <c r="W118"/>
  <c r="W127"/>
  <c r="W128"/>
  <c r="W129"/>
  <c r="W130"/>
  <c r="W131"/>
  <c r="W132"/>
  <c r="W133"/>
  <c r="W134"/>
  <c r="W135"/>
  <c r="AO8"/>
  <c r="AM8"/>
  <c r="AK8"/>
  <c r="AI8"/>
  <c r="AE8"/>
  <c r="AC8"/>
  <c r="AA8"/>
  <c r="Y8"/>
  <c r="W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7"/>
  <c r="U38"/>
  <c r="U39"/>
  <c r="U40"/>
  <c r="U41"/>
  <c r="U42"/>
  <c r="U43"/>
  <c r="U44"/>
  <c r="U50"/>
  <c r="U51"/>
  <c r="U52"/>
  <c r="U53"/>
  <c r="U54"/>
  <c r="U55"/>
  <c r="U56"/>
  <c r="U57"/>
  <c r="U58"/>
  <c r="U66"/>
  <c r="U67"/>
  <c r="U68"/>
  <c r="U69"/>
  <c r="U70"/>
  <c r="U71"/>
  <c r="U72"/>
  <c r="U78"/>
  <c r="U79"/>
  <c r="U80"/>
  <c r="U81"/>
  <c r="U82"/>
  <c r="U83"/>
  <c r="U84"/>
  <c r="U85"/>
  <c r="U86"/>
  <c r="U93"/>
  <c r="U94"/>
  <c r="U95"/>
  <c r="U96"/>
  <c r="U97"/>
  <c r="U104"/>
  <c r="U105"/>
  <c r="U106"/>
  <c r="U107"/>
  <c r="U108"/>
  <c r="U109"/>
  <c r="U110"/>
  <c r="U117"/>
  <c r="U118"/>
  <c r="U127"/>
  <c r="U128"/>
  <c r="U129"/>
  <c r="U130"/>
  <c r="U131"/>
  <c r="U132"/>
  <c r="U133"/>
  <c r="U134"/>
  <c r="U135"/>
  <c r="U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7"/>
  <c r="S38"/>
  <c r="S39"/>
  <c r="S40"/>
  <c r="S41"/>
  <c r="S42"/>
  <c r="S43"/>
  <c r="S44"/>
  <c r="S50"/>
  <c r="S51"/>
  <c r="S52"/>
  <c r="S53"/>
  <c r="S54"/>
  <c r="S55"/>
  <c r="S56"/>
  <c r="S57"/>
  <c r="S58"/>
  <c r="S66"/>
  <c r="S67"/>
  <c r="S68"/>
  <c r="S69"/>
  <c r="S70"/>
  <c r="S71"/>
  <c r="S72"/>
  <c r="S78"/>
  <c r="S79"/>
  <c r="S80"/>
  <c r="S81"/>
  <c r="S82"/>
  <c r="S83"/>
  <c r="S84"/>
  <c r="S85"/>
  <c r="S86"/>
  <c r="S93"/>
  <c r="S94"/>
  <c r="S95"/>
  <c r="S96"/>
  <c r="S97"/>
  <c r="S104"/>
  <c r="S105"/>
  <c r="S106"/>
  <c r="S107"/>
  <c r="S108"/>
  <c r="S109"/>
  <c r="S110"/>
  <c r="S117"/>
  <c r="S118"/>
  <c r="S127"/>
  <c r="S128"/>
  <c r="S129"/>
  <c r="S130"/>
  <c r="S131"/>
  <c r="S132"/>
  <c r="S133"/>
  <c r="S134"/>
  <c r="S135"/>
  <c r="S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7"/>
  <c r="Q38"/>
  <c r="Q39"/>
  <c r="Q40"/>
  <c r="Q41"/>
  <c r="Q42"/>
  <c r="Q43"/>
  <c r="Q44"/>
  <c r="Q50"/>
  <c r="Q51"/>
  <c r="Q52"/>
  <c r="Q53"/>
  <c r="Q54"/>
  <c r="Q55"/>
  <c r="Q56"/>
  <c r="Q57"/>
  <c r="Q58"/>
  <c r="Q66"/>
  <c r="Q67"/>
  <c r="Q68"/>
  <c r="Q69"/>
  <c r="Q70"/>
  <c r="Q71"/>
  <c r="Q72"/>
  <c r="Q78"/>
  <c r="Q79"/>
  <c r="Q80"/>
  <c r="Q81"/>
  <c r="Q82"/>
  <c r="Q83"/>
  <c r="Q84"/>
  <c r="Q85"/>
  <c r="Q86"/>
  <c r="Q93"/>
  <c r="Q94"/>
  <c r="Q95"/>
  <c r="Q96"/>
  <c r="Q97"/>
  <c r="Q104"/>
  <c r="Q105"/>
  <c r="Q106"/>
  <c r="Q107"/>
  <c r="Q108"/>
  <c r="Q109"/>
  <c r="Q110"/>
  <c r="Q117"/>
  <c r="Q118"/>
  <c r="Q127"/>
  <c r="Q128"/>
  <c r="Q129"/>
  <c r="Q130"/>
  <c r="Q131"/>
  <c r="Q132"/>
  <c r="Q133"/>
  <c r="Q134"/>
  <c r="Q135"/>
  <c r="Q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7"/>
  <c r="O38"/>
  <c r="O39"/>
  <c r="O40"/>
  <c r="O41"/>
  <c r="O42"/>
  <c r="O43"/>
  <c r="O44"/>
  <c r="O50"/>
  <c r="O51"/>
  <c r="O52"/>
  <c r="O53"/>
  <c r="O54"/>
  <c r="O55"/>
  <c r="O56"/>
  <c r="O57"/>
  <c r="O58"/>
  <c r="O66"/>
  <c r="O67"/>
  <c r="O68"/>
  <c r="O69"/>
  <c r="O70"/>
  <c r="O71"/>
  <c r="O72"/>
  <c r="O78"/>
  <c r="O79"/>
  <c r="O80"/>
  <c r="O81"/>
  <c r="O82"/>
  <c r="O83"/>
  <c r="O84"/>
  <c r="O85"/>
  <c r="O86"/>
  <c r="O93"/>
  <c r="O94"/>
  <c r="O95"/>
  <c r="O96"/>
  <c r="O97"/>
  <c r="O104"/>
  <c r="O105"/>
  <c r="O106"/>
  <c r="O107"/>
  <c r="O108"/>
  <c r="O109"/>
  <c r="O110"/>
  <c r="O117"/>
  <c r="O118"/>
  <c r="O127"/>
  <c r="O128"/>
  <c r="O129"/>
  <c r="O130"/>
  <c r="O131"/>
  <c r="O132"/>
  <c r="O133"/>
  <c r="O134"/>
  <c r="O135"/>
  <c r="O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7"/>
  <c r="M38"/>
  <c r="M39"/>
  <c r="M40"/>
  <c r="M41"/>
  <c r="M42"/>
  <c r="M43"/>
  <c r="M44"/>
  <c r="M50"/>
  <c r="M51"/>
  <c r="M52"/>
  <c r="M53"/>
  <c r="M54"/>
  <c r="M55"/>
  <c r="M56"/>
  <c r="M57"/>
  <c r="M58"/>
  <c r="M66"/>
  <c r="M67"/>
  <c r="M68"/>
  <c r="M69"/>
  <c r="M70"/>
  <c r="M71"/>
  <c r="M72"/>
  <c r="M78"/>
  <c r="M79"/>
  <c r="M80"/>
  <c r="M81"/>
  <c r="M82"/>
  <c r="M83"/>
  <c r="M84"/>
  <c r="M85"/>
  <c r="M86"/>
  <c r="M93"/>
  <c r="M94"/>
  <c r="M95"/>
  <c r="M96"/>
  <c r="M97"/>
  <c r="M104"/>
  <c r="M105"/>
  <c r="M106"/>
  <c r="M107"/>
  <c r="M108"/>
  <c r="M109"/>
  <c r="M110"/>
  <c r="M117"/>
  <c r="M118"/>
  <c r="M127"/>
  <c r="M128"/>
  <c r="M129"/>
  <c r="M130"/>
  <c r="M131"/>
  <c r="M132"/>
  <c r="M133"/>
  <c r="M134"/>
  <c r="M135"/>
  <c r="M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7"/>
  <c r="K38"/>
  <c r="K39"/>
  <c r="K40"/>
  <c r="K41"/>
  <c r="K42"/>
  <c r="K43"/>
  <c r="K44"/>
  <c r="K50"/>
  <c r="K51"/>
  <c r="K52"/>
  <c r="K53"/>
  <c r="K54"/>
  <c r="K55"/>
  <c r="K56"/>
  <c r="K57"/>
  <c r="K58"/>
  <c r="K66"/>
  <c r="K67"/>
  <c r="K68"/>
  <c r="K69"/>
  <c r="K70"/>
  <c r="K71"/>
  <c r="K72"/>
  <c r="K78"/>
  <c r="K79"/>
  <c r="K80"/>
  <c r="K81"/>
  <c r="K82"/>
  <c r="K83"/>
  <c r="K84"/>
  <c r="K85"/>
  <c r="K86"/>
  <c r="K93"/>
  <c r="K94"/>
  <c r="K95"/>
  <c r="K96"/>
  <c r="K97"/>
  <c r="K104"/>
  <c r="K105"/>
  <c r="K106"/>
  <c r="K107"/>
  <c r="K108"/>
  <c r="K109"/>
  <c r="K110"/>
  <c r="K117"/>
  <c r="K118"/>
  <c r="K127"/>
  <c r="K128"/>
  <c r="K129"/>
  <c r="K130"/>
  <c r="K131"/>
  <c r="K132"/>
  <c r="K133"/>
  <c r="K134"/>
  <c r="K135"/>
  <c r="K8"/>
  <c r="I37"/>
  <c r="I38"/>
  <c r="I39"/>
  <c r="I40"/>
  <c r="I41"/>
  <c r="I42"/>
  <c r="I43"/>
  <c r="I44"/>
  <c r="I50"/>
  <c r="I51"/>
  <c r="I52"/>
  <c r="I53"/>
  <c r="I54"/>
  <c r="I55"/>
  <c r="I56"/>
  <c r="I57"/>
  <c r="I58"/>
  <c r="I66"/>
  <c r="I67"/>
  <c r="I68"/>
  <c r="I69"/>
  <c r="I70"/>
  <c r="I71"/>
  <c r="I72"/>
  <c r="I78"/>
  <c r="I79"/>
  <c r="I80"/>
  <c r="I81"/>
  <c r="I82"/>
  <c r="I83"/>
  <c r="I84"/>
  <c r="I86"/>
  <c r="I93"/>
  <c r="I94"/>
  <c r="I95"/>
  <c r="I96"/>
  <c r="I97"/>
  <c r="I104"/>
  <c r="I105"/>
  <c r="I106"/>
  <c r="I107"/>
  <c r="I108"/>
  <c r="I109"/>
  <c r="I110"/>
  <c r="I117"/>
  <c r="I118"/>
  <c r="I119"/>
  <c r="I120"/>
  <c r="G50"/>
  <c r="G51"/>
  <c r="G52"/>
  <c r="G53"/>
  <c r="G54"/>
  <c r="G55"/>
  <c r="G56"/>
  <c r="G57"/>
  <c r="G58"/>
  <c r="G66"/>
  <c r="G67"/>
  <c r="G68"/>
  <c r="G69"/>
  <c r="G70"/>
  <c r="G71"/>
  <c r="G72"/>
  <c r="G78"/>
  <c r="G79"/>
  <c r="G80"/>
  <c r="G81"/>
  <c r="G82"/>
  <c r="G83"/>
  <c r="G84"/>
  <c r="G85"/>
  <c r="G86"/>
  <c r="G93"/>
  <c r="G94"/>
  <c r="G95"/>
  <c r="G96"/>
  <c r="G97"/>
  <c r="G104"/>
  <c r="G105"/>
  <c r="G106"/>
  <c r="G107"/>
  <c r="G108"/>
  <c r="G109"/>
  <c r="G110"/>
  <c r="G117"/>
  <c r="G118"/>
  <c r="G119"/>
  <c r="G120"/>
  <c r="G127"/>
  <c r="G128"/>
  <c r="G129"/>
  <c r="G130"/>
  <c r="G131"/>
  <c r="G132"/>
  <c r="G133"/>
  <c r="G134"/>
  <c r="G135"/>
  <c r="G37"/>
  <c r="G38"/>
  <c r="G39"/>
  <c r="G40"/>
  <c r="G41"/>
  <c r="G42"/>
  <c r="G43"/>
  <c r="G44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8"/>
  <c r="AY109"/>
  <c r="AY97"/>
  <c r="AY96"/>
  <c r="AY95"/>
  <c r="AX86"/>
  <c r="AY85"/>
  <c r="AX85"/>
  <c r="AY84"/>
  <c r="AY83"/>
  <c r="AY82"/>
  <c r="AX82"/>
  <c r="AY71"/>
  <c r="AX71"/>
  <c r="AX68"/>
  <c r="AY54"/>
  <c r="AX52"/>
  <c r="AX51"/>
  <c r="AY50"/>
  <c r="AX50"/>
  <c r="AQ38"/>
  <c r="AY23"/>
  <c r="AY22"/>
  <c r="AY21"/>
  <c r="AX21"/>
  <c r="AX20"/>
  <c r="AX19"/>
  <c r="AY16"/>
  <c r="AX16"/>
  <c r="AY15"/>
  <c r="AY12"/>
  <c r="AT12"/>
  <c r="AY11"/>
  <c r="AT11"/>
  <c r="AT10"/>
  <c r="AT9"/>
  <c r="AT8"/>
  <c r="AD108" i="2"/>
  <c r="AD107"/>
  <c r="AD106"/>
  <c r="AQ132" i="12"/>
  <c r="AQ54"/>
  <c r="AQ84"/>
  <c r="AQ78"/>
  <c r="AQ95"/>
  <c r="AQ81"/>
  <c r="AQ82"/>
  <c r="AQ52"/>
  <c r="AQ83"/>
  <c r="AQ56"/>
  <c r="AQ131"/>
  <c r="AQ57"/>
  <c r="AQ51"/>
  <c r="AQ53"/>
  <c r="AQ31"/>
  <c r="AQ129"/>
  <c r="AQ130"/>
  <c r="AQ117"/>
  <c r="AQ118"/>
  <c r="AQ58"/>
  <c r="AQ86"/>
  <c r="AQ50"/>
  <c r="AQ134"/>
  <c r="AQ128"/>
  <c r="AQ80"/>
  <c r="AQ133"/>
  <c r="AQ127"/>
  <c r="AQ85"/>
  <c r="AQ79"/>
  <c r="AQ55"/>
  <c r="W44" i="1"/>
  <c r="W39"/>
  <c r="AQ39" i="12"/>
  <c r="W40" i="1"/>
  <c r="AQ40" i="12"/>
  <c r="W41" i="1"/>
  <c r="AQ41" i="12"/>
  <c r="W42" i="1"/>
  <c r="AQ42" i="12"/>
  <c r="W43" i="1"/>
  <c r="AQ43" i="12" s="1"/>
  <c r="W8" i="1"/>
  <c r="AQ9" i="12" s="1"/>
  <c r="W9" i="1"/>
  <c r="AQ10" i="12" s="1"/>
  <c r="W10" i="1"/>
  <c r="AQ11" i="12"/>
  <c r="W11" i="1"/>
  <c r="AQ12" i="12" s="1"/>
  <c r="W12" i="1"/>
  <c r="AQ13" i="12" s="1"/>
  <c r="W13" i="1"/>
  <c r="AQ14" i="12"/>
  <c r="W14" i="1"/>
  <c r="AQ15" i="12" s="1"/>
  <c r="W15" i="1"/>
  <c r="AQ16" i="12" s="1"/>
  <c r="W16" i="1"/>
  <c r="AQ17" i="12"/>
  <c r="W17" i="1"/>
  <c r="AQ18" i="12" s="1"/>
  <c r="W18" i="1"/>
  <c r="AQ19" i="12" s="1"/>
  <c r="W19" i="1"/>
  <c r="AQ20" i="12"/>
  <c r="W20" i="1"/>
  <c r="AQ21" i="12" s="1"/>
  <c r="W21" i="1"/>
  <c r="AQ22" i="12" s="1"/>
  <c r="W22" i="1"/>
  <c r="AQ23" i="12"/>
  <c r="W23" i="1"/>
  <c r="AQ24" i="12" s="1"/>
  <c r="W24" i="1"/>
  <c r="AQ25" i="12" s="1"/>
  <c r="W25" i="1"/>
  <c r="AQ26" i="12"/>
  <c r="W26" i="1"/>
  <c r="AQ27" i="12" s="1"/>
  <c r="W27" i="1"/>
  <c r="AQ28" i="12" s="1"/>
  <c r="W28" i="1"/>
  <c r="AQ29" i="12"/>
  <c r="W29" i="1"/>
  <c r="AQ30" i="12" s="1"/>
  <c r="W7" i="1"/>
  <c r="AQ44" i="12"/>
  <c r="AD125" i="2"/>
  <c r="AD122"/>
  <c r="AD94"/>
  <c r="AD93"/>
  <c r="AD92"/>
  <c r="AD91"/>
  <c r="AD77"/>
  <c r="AD65"/>
  <c r="AD59"/>
  <c r="AD55"/>
  <c r="AD23"/>
  <c r="AD22"/>
  <c r="AD21"/>
  <c r="AD16"/>
  <c r="AD15"/>
  <c r="AD12"/>
  <c r="AD11"/>
  <c r="AC95"/>
  <c r="AC94"/>
  <c r="AC91"/>
  <c r="AC77"/>
  <c r="AC74"/>
  <c r="AC57"/>
  <c r="AC56"/>
  <c r="AC55"/>
  <c r="AC21"/>
  <c r="AC20"/>
  <c r="AC19"/>
  <c r="AC16"/>
  <c r="Y12"/>
  <c r="Y11"/>
  <c r="Y10"/>
  <c r="Y9"/>
  <c r="Y8"/>
  <c r="V48"/>
  <c r="V45"/>
  <c r="V46"/>
  <c r="V44"/>
  <c r="V43"/>
  <c r="V42"/>
  <c r="V41"/>
  <c r="V40"/>
  <c r="V28"/>
  <c r="AP14" i="14" s="1"/>
  <c r="AQ14" s="1"/>
  <c r="V24" i="2"/>
  <c r="AP13" i="14" s="1"/>
  <c r="AQ13" s="1"/>
  <c r="V18" i="2"/>
  <c r="AP8" i="14" s="1"/>
  <c r="AQ8" s="1"/>
  <c r="V20" i="2"/>
  <c r="AP10" i="14" s="1"/>
  <c r="AQ10" s="1"/>
  <c r="V16" i="2"/>
  <c r="AP7" i="14" s="1"/>
  <c r="AQ7" s="1"/>
  <c r="V19" i="2"/>
  <c r="AP9" i="14" s="1"/>
  <c r="AQ9" s="1"/>
  <c r="V25" i="2"/>
  <c r="AP40" i="14" s="1"/>
  <c r="AQ40" s="1"/>
  <c r="V26" i="2"/>
  <c r="AP31" i="14" s="1"/>
  <c r="AQ31" s="1"/>
  <c r="V22" i="2"/>
  <c r="AP11" i="14" s="1"/>
  <c r="AQ11" s="1"/>
  <c r="V30" i="2"/>
  <c r="AP16" i="14" s="1"/>
  <c r="AQ16" s="1"/>
  <c r="V31" i="2"/>
  <c r="AP42" i="14" s="1"/>
  <c r="AQ42" s="1"/>
  <c r="V27" i="2"/>
  <c r="AP41" i="14" s="1"/>
  <c r="AQ41" s="1"/>
  <c r="V29" i="2"/>
  <c r="AP15" i="14" s="1"/>
  <c r="AQ15" s="1"/>
  <c r="V23" i="2"/>
  <c r="AP12" i="14" s="1"/>
  <c r="AQ12" s="1"/>
  <c r="V17" i="2"/>
  <c r="AP38" i="14" s="1"/>
  <c r="AQ38" s="1"/>
  <c r="V21" i="2"/>
  <c r="AP39" i="14" s="1"/>
  <c r="AQ39" s="1"/>
  <c r="V14" i="2"/>
  <c r="AP29" i="14" s="1"/>
  <c r="AQ29" s="1"/>
  <c r="V13" i="2"/>
  <c r="AP28" i="14" s="1"/>
  <c r="AQ28" s="1"/>
  <c r="V15" i="2"/>
  <c r="AP30" i="14" s="1"/>
  <c r="AQ30" s="1"/>
  <c r="V10" i="2"/>
  <c r="AP26" i="14" s="1"/>
  <c r="AQ26" s="1"/>
  <c r="V9" i="2"/>
  <c r="AP25" i="14" s="1"/>
  <c r="AQ25" s="1"/>
  <c r="V12" i="2"/>
  <c r="AP27" i="14" s="1"/>
  <c r="AQ27" s="1"/>
  <c r="V8" i="2"/>
  <c r="AP24" i="14" s="1"/>
  <c r="AQ24" s="1"/>
  <c r="V11" i="2"/>
  <c r="AP43" i="14" s="1"/>
  <c r="AQ43" s="1"/>
  <c r="X174" i="1"/>
  <c r="D174"/>
  <c r="E174"/>
  <c r="F174"/>
  <c r="W174"/>
  <c r="W175" s="1"/>
  <c r="G174"/>
  <c r="G175" s="1"/>
  <c r="H174"/>
  <c r="H175" s="1"/>
  <c r="I174"/>
  <c r="J174"/>
  <c r="K174"/>
  <c r="L174"/>
  <c r="L175" s="1"/>
  <c r="M174"/>
  <c r="N174"/>
  <c r="O174"/>
  <c r="O175" s="1"/>
  <c r="P174"/>
  <c r="Q174"/>
  <c r="R174"/>
  <c r="S174"/>
  <c r="T174"/>
  <c r="T175" s="1"/>
  <c r="U174"/>
  <c r="U175" s="1"/>
  <c r="V174"/>
  <c r="Y174"/>
  <c r="Z174"/>
  <c r="Z175" s="1"/>
  <c r="AA174"/>
  <c r="AA175" s="1"/>
  <c r="C174"/>
  <c r="C175" s="1"/>
  <c r="D173"/>
  <c r="E173"/>
  <c r="F173"/>
  <c r="W173"/>
  <c r="G173"/>
  <c r="H173"/>
  <c r="I173"/>
  <c r="J173"/>
  <c r="K173"/>
  <c r="K175" s="1"/>
  <c r="L173"/>
  <c r="M173"/>
  <c r="N173"/>
  <c r="O173"/>
  <c r="P173"/>
  <c r="Q173"/>
  <c r="R173"/>
  <c r="R175" s="1"/>
  <c r="S173"/>
  <c r="T173"/>
  <c r="U173"/>
  <c r="V173"/>
  <c r="X173"/>
  <c r="Y173"/>
  <c r="Y175" s="1"/>
  <c r="Z173"/>
  <c r="AA173"/>
  <c r="C173"/>
  <c r="AA189"/>
  <c r="AA188"/>
  <c r="AA190" s="1"/>
  <c r="Z189"/>
  <c r="Z190" s="1"/>
  <c r="Z188"/>
  <c r="Y189"/>
  <c r="Y188"/>
  <c r="X189"/>
  <c r="X188"/>
  <c r="X190" s="1"/>
  <c r="V189"/>
  <c r="V190" s="1"/>
  <c r="V188"/>
  <c r="U189"/>
  <c r="U188"/>
  <c r="T189"/>
  <c r="T188"/>
  <c r="T190" s="1"/>
  <c r="S189"/>
  <c r="S190" s="1"/>
  <c r="S188"/>
  <c r="R189"/>
  <c r="R188"/>
  <c r="Q189"/>
  <c r="Q188"/>
  <c r="Q190" s="1"/>
  <c r="P189"/>
  <c r="P190" s="1"/>
  <c r="P188"/>
  <c r="O189"/>
  <c r="O190" s="1"/>
  <c r="O188"/>
  <c r="N189"/>
  <c r="N188"/>
  <c r="M189"/>
  <c r="M190" s="1"/>
  <c r="M188"/>
  <c r="L189"/>
  <c r="L190" s="1"/>
  <c r="L188"/>
  <c r="K189"/>
  <c r="K188"/>
  <c r="K190" s="1"/>
  <c r="J189"/>
  <c r="J190" s="1"/>
  <c r="J188"/>
  <c r="I189"/>
  <c r="I188"/>
  <c r="H189"/>
  <c r="H188"/>
  <c r="G189"/>
  <c r="G190" s="1"/>
  <c r="G188"/>
  <c r="W189"/>
  <c r="W188"/>
  <c r="F189"/>
  <c r="F188"/>
  <c r="E189"/>
  <c r="E190" s="1"/>
  <c r="E188"/>
  <c r="D189"/>
  <c r="D190" s="1"/>
  <c r="D188"/>
  <c r="C189"/>
  <c r="C188"/>
  <c r="Y190"/>
  <c r="N175"/>
  <c r="I175"/>
  <c r="D175"/>
  <c r="V175"/>
  <c r="P175"/>
  <c r="F175"/>
  <c r="W190"/>
  <c r="R190"/>
  <c r="J175"/>
  <c r="E175"/>
  <c r="N190"/>
  <c r="U190"/>
  <c r="AQ66" i="12"/>
  <c r="M175" i="1" l="1"/>
  <c r="X175"/>
  <c r="S175"/>
  <c r="I190"/>
  <c r="C190"/>
  <c r="F190"/>
  <c r="H190"/>
  <c r="Q175"/>
  <c r="V52" i="13"/>
  <c r="V53" s="1"/>
  <c r="V51"/>
  <c r="P53"/>
  <c r="E53"/>
  <c r="M53"/>
  <c r="L52"/>
  <c r="L53" s="1"/>
  <c r="AP17" i="14"/>
  <c r="AQ17" s="1"/>
  <c r="AP32"/>
  <c r="AQ32" s="1"/>
  <c r="O51" i="13"/>
  <c r="O53" s="1"/>
  <c r="P51"/>
  <c r="T52"/>
  <c r="T53" s="1"/>
  <c r="M51"/>
  <c r="I51"/>
  <c r="I53" s="1"/>
</calcChain>
</file>

<file path=xl/sharedStrings.xml><?xml version="1.0" encoding="utf-8"?>
<sst xmlns="http://schemas.openxmlformats.org/spreadsheetml/2006/main" count="4876" uniqueCount="276">
  <si>
    <t>DM</t>
  </si>
  <si>
    <t>Fat</t>
  </si>
  <si>
    <t>Protein</t>
  </si>
  <si>
    <t>Energy</t>
  </si>
  <si>
    <t>Ca</t>
  </si>
  <si>
    <t>Co</t>
  </si>
  <si>
    <t>Cu</t>
  </si>
  <si>
    <t>Fe</t>
  </si>
  <si>
    <t>Mg</t>
  </si>
  <si>
    <t>Mn</t>
  </si>
  <si>
    <t>Mo</t>
  </si>
  <si>
    <t>Ni</t>
  </si>
  <si>
    <t>P</t>
  </si>
  <si>
    <t>K</t>
  </si>
  <si>
    <t>Na</t>
  </si>
  <si>
    <t>S</t>
  </si>
  <si>
    <t>Zn</t>
  </si>
  <si>
    <t>Sum AA</t>
  </si>
  <si>
    <t>Ala</t>
  </si>
  <si>
    <t>Arg</t>
  </si>
  <si>
    <t>Asp</t>
  </si>
  <si>
    <t>Glu</t>
  </si>
  <si>
    <t>Gly</t>
  </si>
  <si>
    <t>His</t>
  </si>
  <si>
    <t>Ile</t>
  </si>
  <si>
    <t>Leu</t>
  </si>
  <si>
    <t>Lys</t>
  </si>
  <si>
    <t>Met</t>
  </si>
  <si>
    <t>Phe</t>
  </si>
  <si>
    <t>Pro</t>
  </si>
  <si>
    <t>Ser</t>
  </si>
  <si>
    <t>Thr</t>
  </si>
  <si>
    <t>Tyr</t>
  </si>
  <si>
    <t>Val</t>
  </si>
  <si>
    <t>Fish Meal</t>
  </si>
  <si>
    <t>CV</t>
  </si>
  <si>
    <t>STDEV</t>
  </si>
  <si>
    <t>Mean</t>
  </si>
  <si>
    <t>Ethanol Yeast</t>
  </si>
  <si>
    <t>% Dry weight</t>
  </si>
  <si>
    <t>Ingredient</t>
  </si>
  <si>
    <t>Feather meal</t>
  </si>
  <si>
    <t>Corn gluten meal</t>
  </si>
  <si>
    <t>Canola meal</t>
  </si>
  <si>
    <t>Rice bran</t>
  </si>
  <si>
    <t>Soy protein concentrate</t>
  </si>
  <si>
    <t>Wheat gluten meal</t>
  </si>
  <si>
    <t>Poultry blood meal, spray dried</t>
  </si>
  <si>
    <t>Poultry by-product meal, pet food grade</t>
  </si>
  <si>
    <t>Soybean meal, solvent extracted, dehulled</t>
  </si>
  <si>
    <t>Cotton seed meal</t>
  </si>
  <si>
    <t>Flaxseed meal</t>
  </si>
  <si>
    <t>Wheat middlings</t>
  </si>
  <si>
    <t>Wheat millrun</t>
  </si>
  <si>
    <t>Wheat, whole</t>
  </si>
  <si>
    <t>Corn, whole</t>
  </si>
  <si>
    <t>Barley, Harrington</t>
  </si>
  <si>
    <t>Barley, Baronesse</t>
  </si>
  <si>
    <t>Barley, Clearwater</t>
  </si>
  <si>
    <t>Barley, Merlin</t>
  </si>
  <si>
    <t>Wheat, Waxy-Pen</t>
  </si>
  <si>
    <t>Wheat, soft white</t>
  </si>
  <si>
    <t>Reference diet #2</t>
  </si>
  <si>
    <t>Menhaden fish meal, Special Select</t>
  </si>
  <si>
    <t>Reference diet #3</t>
  </si>
  <si>
    <t>Soy Protein Concentrate, Selecta 60</t>
  </si>
  <si>
    <t>Soybean meal (Standard ADM 47%)</t>
  </si>
  <si>
    <t>Bacterial Biomass</t>
  </si>
  <si>
    <t>Poultry meal, American Dehydrated Foods</t>
  </si>
  <si>
    <t>Corn Protein Concentrate, Cargill Empyreal 75</t>
  </si>
  <si>
    <t>Soy Protein Concentrate, Solae Profine VF</t>
  </si>
  <si>
    <t>Krill meal</t>
  </si>
  <si>
    <t>Worms, red</t>
  </si>
  <si>
    <t>Comparison of Reference Diets</t>
  </si>
  <si>
    <t>Barley Protein Conc., Montana Microbial Products</t>
  </si>
  <si>
    <t>Fishery processing by-product, NOAA, Seattle</t>
  </si>
  <si>
    <t>Barley protein conc., Montana Microbial Products</t>
  </si>
  <si>
    <t>Experiment 1</t>
  </si>
  <si>
    <t>Experiment 2</t>
  </si>
  <si>
    <t>Experiment 3</t>
  </si>
  <si>
    <t>Experiment 4</t>
  </si>
  <si>
    <t>Experiment 5</t>
  </si>
  <si>
    <t>Experiment 6</t>
  </si>
  <si>
    <t>Experiment 7</t>
  </si>
  <si>
    <t>Experiment 8</t>
  </si>
  <si>
    <t>Experiment 9</t>
  </si>
  <si>
    <t>Soy full fat, Schillinger Gen., commodity heated</t>
  </si>
  <si>
    <t>Soy full fat, Schillinger Gen., Low P34 antigen, heated</t>
  </si>
  <si>
    <t>Soy full fat, Schillinger Gen., Low P34 antigen, unheated</t>
  </si>
  <si>
    <t>Soy full fat, Schillinger Gen., Low TIA, heated</t>
  </si>
  <si>
    <t>Soy full fat, Schillinger Gen., Low TIA, unheated</t>
  </si>
  <si>
    <t>mg/kg</t>
  </si>
  <si>
    <t>ND</t>
  </si>
  <si>
    <t>%</t>
  </si>
  <si>
    <t>Kcal/kg</t>
  </si>
  <si>
    <t>starch</t>
  </si>
  <si>
    <t>amylose</t>
  </si>
  <si>
    <t>amylopectin</t>
  </si>
  <si>
    <t>Comparison of Reference Fish Meal</t>
  </si>
  <si>
    <t>Matter</t>
  </si>
  <si>
    <t>Organic</t>
  </si>
  <si>
    <t>Crude</t>
  </si>
  <si>
    <t>Reference diet #3   cold extruded</t>
  </si>
  <si>
    <t>Reference diet #3     cold extruded</t>
  </si>
  <si>
    <t>DP4</t>
  </si>
  <si>
    <t>DP3</t>
  </si>
  <si>
    <t>DP2</t>
  </si>
  <si>
    <t>Dextrose</t>
  </si>
  <si>
    <t>Galactose</t>
  </si>
  <si>
    <t>Fructose</t>
  </si>
  <si>
    <t>Total Type B Saponins</t>
  </si>
  <si>
    <t>Protein AI</t>
  </si>
  <si>
    <t>TIA</t>
  </si>
  <si>
    <t>Glycinin</t>
  </si>
  <si>
    <t>Beta Conglycinin</t>
  </si>
  <si>
    <t>g/kg</t>
  </si>
  <si>
    <t>&gt;5</t>
  </si>
  <si>
    <t>pending</t>
  </si>
  <si>
    <t>Sample Id</t>
  </si>
  <si>
    <t>sucrose</t>
  </si>
  <si>
    <t>raffinose</t>
  </si>
  <si>
    <t>stachyose</t>
  </si>
  <si>
    <t>Mycotoxin</t>
  </si>
  <si>
    <t>BPC 2010</t>
  </si>
  <si>
    <t>BPC 2009</t>
  </si>
  <si>
    <t>BPC #3</t>
  </si>
  <si>
    <t>ppm</t>
  </si>
  <si>
    <t>Vomi toxin</t>
  </si>
  <si>
    <t>&lt;0.5</t>
  </si>
  <si>
    <t>T-2 Tetra01</t>
  </si>
  <si>
    <t>Fusarenone-X</t>
  </si>
  <si>
    <t>3-Acetyl DON</t>
  </si>
  <si>
    <t>15-Acetyl DON</t>
  </si>
  <si>
    <t>DAS</t>
  </si>
  <si>
    <t>T-2 Trio1</t>
  </si>
  <si>
    <t>T-2 Toxin</t>
  </si>
  <si>
    <t>Iso T-2 Toxin</t>
  </si>
  <si>
    <t>Scirpentriol</t>
  </si>
  <si>
    <t>Nivalenol</t>
  </si>
  <si>
    <t>15-Acet-Scirp</t>
  </si>
  <si>
    <t>Neosolaniol</t>
  </si>
  <si>
    <t>HT-2 Toxin</t>
  </si>
  <si>
    <t>Acetyl T-2</t>
  </si>
  <si>
    <t>Zearalenol</t>
  </si>
  <si>
    <t>Zearalenone</t>
  </si>
  <si>
    <t>Aflatoxin B1</t>
  </si>
  <si>
    <t>&lt;0.02</t>
  </si>
  <si>
    <t>Fumonisin B1</t>
  </si>
  <si>
    <t>&lt;2.0</t>
  </si>
  <si>
    <t>The practical quantitation limit</t>
  </si>
  <si>
    <t>(PQL) is 0.5 pprn for the first 17 mycotoxins. The Aflatoxin PQL is 0.02 pprn</t>
  </si>
  <si>
    <t>and the Fumonisin PQL is 2 ppm.</t>
  </si>
  <si>
    <t>Soy Products</t>
  </si>
  <si>
    <t>Soybean meal, modified, Hamlet HP-300</t>
  </si>
  <si>
    <t>Soy protein, bio-fuels coproduct</t>
  </si>
  <si>
    <t>Yeast protein, NuPro, Alltech Inc.</t>
  </si>
  <si>
    <t>Algae, mixed species</t>
  </si>
  <si>
    <r>
      <t xml:space="preserve">Experiment 6 </t>
    </r>
    <r>
      <rPr>
        <b/>
        <sz val="10"/>
        <rFont val="Arial"/>
        <family val="2"/>
      </rPr>
      <t xml:space="preserve"> * all diets cold extrdued</t>
    </r>
  </si>
  <si>
    <t>Soy full fat, Schillinger Gen., 208 heated</t>
  </si>
  <si>
    <t>Soy full fat, Schillinger Gen., Ultra Low Oligo, heated</t>
  </si>
  <si>
    <t>Soy full fat, Schillinger Gen., Ultra Low Oligo, unheated</t>
  </si>
  <si>
    <t>Barley Protein Concentrate</t>
  </si>
  <si>
    <t>Canola protein concentrate</t>
  </si>
  <si>
    <t>Distillers Dried Grains, High protein</t>
  </si>
  <si>
    <t>Distillers Dried Grains/solubles, Valero</t>
  </si>
  <si>
    <t>Distillers Dried Grains/solubles, Wentworth</t>
  </si>
  <si>
    <t>Barley protein concentrate, Montana Microbial Products</t>
  </si>
  <si>
    <t>Fish meal,  FM 5534001</t>
  </si>
  <si>
    <t>Fish meal,  HM 5531101</t>
  </si>
  <si>
    <t>Fish meal, FM 5534001</t>
  </si>
  <si>
    <t>Fish meal, HM 5531101</t>
  </si>
  <si>
    <t>Soy full fat, Schillinger Gen., 3010, ULO</t>
  </si>
  <si>
    <t>Amino Acids</t>
  </si>
  <si>
    <t>Macro-nutrients</t>
  </si>
  <si>
    <t>BD</t>
  </si>
  <si>
    <t>Minerals</t>
  </si>
  <si>
    <t xml:space="preserve">Dry </t>
  </si>
  <si>
    <r>
      <rPr>
        <sz val="14"/>
        <rFont val="Arial"/>
        <family val="2"/>
      </rPr>
      <t xml:space="preserve">        </t>
    </r>
    <r>
      <rPr>
        <i/>
        <sz val="14"/>
        <rFont val="Arial"/>
        <family val="2"/>
      </rPr>
      <t>Carbohydrates</t>
    </r>
  </si>
  <si>
    <t xml:space="preserve">        Macro-nutrients</t>
  </si>
  <si>
    <t>% Dry Weight</t>
  </si>
  <si>
    <t>Rice protein concentrate, Parheim</t>
  </si>
  <si>
    <t>Barely protein concentrate, Parheim</t>
  </si>
  <si>
    <t>Barley, Waxbar</t>
  </si>
  <si>
    <t>Wheat, flour</t>
  </si>
  <si>
    <t>Barley, O3HR4211</t>
  </si>
  <si>
    <t>Barely, Waxbar</t>
  </si>
  <si>
    <t>Soybean Meal, 48%CP</t>
  </si>
  <si>
    <t>Algae, Spirulina, batch 745</t>
  </si>
  <si>
    <t>Soybean Meal, 48% CP</t>
  </si>
  <si>
    <t>Bacterial biomass</t>
  </si>
  <si>
    <t>Fish meal, Anchovy</t>
  </si>
  <si>
    <t>Fish meal, Mexican sardine</t>
  </si>
  <si>
    <t>Fish meal, Menhaden, FAQ</t>
  </si>
  <si>
    <t xml:space="preserve">Fish meal, Menhaden, Special Select™ </t>
  </si>
  <si>
    <t xml:space="preserve">Fish meal, Sardine </t>
  </si>
  <si>
    <t>Fish meal, Menhaden, Special Select</t>
  </si>
  <si>
    <t>Soybean meal, USDA, variety A</t>
  </si>
  <si>
    <t>Soybean meal, USDA, variety B</t>
  </si>
  <si>
    <t>Soybean meal, USDA, variety C</t>
  </si>
  <si>
    <t xml:space="preserve">Soybean meal, ADM </t>
  </si>
  <si>
    <t>ARS Protein Supplement</t>
  </si>
  <si>
    <t>ARS Mineral Supplement</t>
  </si>
  <si>
    <t>Poultry blood meal, 13</t>
  </si>
  <si>
    <t>Poultry blood meal, 8521</t>
  </si>
  <si>
    <t>Algae, spirulina, batch 745</t>
  </si>
  <si>
    <t>Corn protein concentrate, Cargill, Empyreal 75</t>
  </si>
  <si>
    <t>Corn Protein  Concentrate, Cargill, Empyreal 75</t>
  </si>
  <si>
    <t>*NA - not available</t>
  </si>
  <si>
    <t>NA*</t>
  </si>
  <si>
    <t>NA* - not available</t>
  </si>
  <si>
    <t>Nutrient Composition of Ingredients and Reference Diets</t>
  </si>
  <si>
    <t>BD* - below detection</t>
  </si>
  <si>
    <t>NA</t>
  </si>
  <si>
    <t>Algae, spirulina, Carbon Capture Corp.</t>
  </si>
  <si>
    <t>Macro-nutrients, % dry weight</t>
  </si>
  <si>
    <t>Digestible</t>
  </si>
  <si>
    <t>Gross</t>
  </si>
  <si>
    <t>Total</t>
  </si>
  <si>
    <t>Amino Acids, % Dry Weight</t>
  </si>
  <si>
    <t>Lysine, %</t>
  </si>
  <si>
    <t>Sum of Amino acids</t>
  </si>
  <si>
    <t>Alanine, %</t>
  </si>
  <si>
    <t>Arginine, %</t>
  </si>
  <si>
    <t>Glutamic acid, %</t>
  </si>
  <si>
    <t>Glycine, %</t>
  </si>
  <si>
    <t>Histidine, %</t>
  </si>
  <si>
    <t>Isoleucine, %</t>
  </si>
  <si>
    <t>Leucine, %</t>
  </si>
  <si>
    <t>Methionine, %</t>
  </si>
  <si>
    <t>Phenylalanine, %</t>
  </si>
  <si>
    <t>Proline, %</t>
  </si>
  <si>
    <t>Serine, %</t>
  </si>
  <si>
    <t>Threonine, %</t>
  </si>
  <si>
    <t>Tyrosine, %</t>
  </si>
  <si>
    <t>Valine, %</t>
  </si>
  <si>
    <t>Energy, Kcal/kg</t>
  </si>
  <si>
    <t>Protein, %</t>
  </si>
  <si>
    <t>Asp, %</t>
  </si>
  <si>
    <t>Phosphorus, %</t>
  </si>
  <si>
    <t>Minerals, % dry weight</t>
  </si>
  <si>
    <t>Dry Matter, %</t>
  </si>
  <si>
    <t>Comments: Peak shape for Dextrose in USDA variety A is not very uniform. Concentration may be overestimated.</t>
  </si>
  <si>
    <t>Reference diet #1</t>
  </si>
  <si>
    <t>starch, %</t>
  </si>
  <si>
    <t xml:space="preserve">amylose, % </t>
  </si>
  <si>
    <t>amylopectin, %</t>
  </si>
  <si>
    <t xml:space="preserve">        Carbohydrates, dry weight</t>
  </si>
  <si>
    <r>
      <t xml:space="preserve">        </t>
    </r>
    <r>
      <rPr>
        <i/>
        <sz val="14"/>
        <rFont val="Arial"/>
        <family val="2"/>
      </rPr>
      <t>Carbohydrates</t>
    </r>
  </si>
  <si>
    <t>Last updated; April 15, 2012</t>
  </si>
  <si>
    <t>Last updated; April 5, 2011</t>
  </si>
  <si>
    <t>Reference Diet #1 used in hybrid striped bass trials</t>
  </si>
  <si>
    <t>Experiment 1 - Trial A</t>
  </si>
  <si>
    <t>Experiment 1 - Trial B</t>
  </si>
  <si>
    <t>Experiment 1 - Trial C</t>
  </si>
  <si>
    <t>Total and Digestible Nutrients, Trout</t>
  </si>
  <si>
    <t>Total and Digestible Nutrients, Rainbow Trout</t>
  </si>
  <si>
    <t>Total and Digestible Nutrients, Hybrid Stripped Bass</t>
  </si>
  <si>
    <t xml:space="preserve"> Fish Feed and Nutrition Laboratory (Lab scale Feed Mill), Bozeman, Montana</t>
  </si>
  <si>
    <t>H.K. Dupree Stuttgart National Aquaculture Research Center, Stuttgart, Arkansas</t>
  </si>
  <si>
    <t xml:space="preserve">Twin-screw cooking extruder for production of all diets except where noted in experiment 6 with trout </t>
  </si>
  <si>
    <t>Vacumn coater for application of all additional oil after pellet extrusion</t>
  </si>
  <si>
    <t>Wet laboratory Bozeman Fish Technology Center.</t>
  </si>
  <si>
    <t>Experimental tanks for digestibility studies with trout in Bozeman.</t>
  </si>
  <si>
    <t>Experimental tanks for digestibility studies with hybrid bass in Stuttgart.</t>
  </si>
  <si>
    <t>Apparent Digestibility Coefficients*, %, of Ingredients and Reference Diets, Rainbow Trout</t>
  </si>
  <si>
    <t>Apparent Digestibility Coefficients*, %, of Ingredients and Reference Diets, Hybrid Stripped Bass</t>
  </si>
  <si>
    <t>Sample ID</t>
  </si>
  <si>
    <t>Experiment 10</t>
  </si>
  <si>
    <t>Corn Protein Conc.,  Empyreal 75, Cargill</t>
  </si>
  <si>
    <t>Corn Protein  Concentrate, Empyreal 75, Cargill</t>
  </si>
  <si>
    <t>Corn Protein Concentrate, Empyreal 75, Cargill</t>
  </si>
  <si>
    <t>Corn Protein Conc.,  Balance, Cargill</t>
  </si>
  <si>
    <t>Corn Protein Conc., LP, Cargill</t>
  </si>
  <si>
    <t>Barley Protein Meal,  Adaptive BioResources</t>
  </si>
  <si>
    <t>Fish Meal, Menahden SS, Omega Proteins</t>
  </si>
  <si>
    <t>Last updated, November 2, 2011</t>
  </si>
</sst>
</file>

<file path=xl/styles.xml><?xml version="1.0" encoding="utf-8"?>
<styleSheet xmlns="http://schemas.openxmlformats.org/spreadsheetml/2006/main">
  <numFmts count="6">
    <numFmt numFmtId="164" formatCode="0.0"/>
    <numFmt numFmtId="165" formatCode="0.000"/>
    <numFmt numFmtId="166" formatCode="0.0000"/>
    <numFmt numFmtId="167" formatCode="0.00000"/>
    <numFmt numFmtId="168" formatCode="0.000000"/>
    <numFmt numFmtId="169" formatCode="0.00;[Red]0.00"/>
  </numFmts>
  <fonts count="2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2"/>
      <color indexed="8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sz val="12"/>
      <name val="Arial"/>
      <family val="2"/>
    </font>
    <font>
      <b/>
      <sz val="24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20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/>
  </cellStyleXfs>
  <cellXfs count="467">
    <xf numFmtId="0" fontId="0" fillId="0" borderId="0" xfId="0"/>
    <xf numFmtId="0" fontId="3" fillId="0" borderId="0" xfId="0" applyFont="1" applyFill="1"/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/>
    <xf numFmtId="164" fontId="1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2" fontId="0" fillId="0" borderId="0" xfId="0" applyNumberFormat="1" applyFill="1" applyAlignment="1">
      <alignment horizontal="center"/>
    </xf>
    <xf numFmtId="0" fontId="3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Fill="1" applyAlignment="1">
      <alignment horizontal="left"/>
    </xf>
    <xf numFmtId="2" fontId="1" fillId="0" borderId="0" xfId="0" applyNumberFormat="1" applyFont="1" applyFill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3" fillId="0" borderId="0" xfId="0" applyFont="1"/>
    <xf numFmtId="2" fontId="1" fillId="0" borderId="0" xfId="0" applyNumberFormat="1" applyFont="1" applyAlignment="1">
      <alignment horizontal="center"/>
    </xf>
    <xf numFmtId="0" fontId="0" fillId="0" borderId="0" xfId="0" applyBorder="1"/>
    <xf numFmtId="2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2" fontId="2" fillId="0" borderId="0" xfId="0" applyNumberFormat="1" applyFont="1" applyBorder="1" applyAlignment="1">
      <alignment horizontal="center"/>
    </xf>
    <xf numFmtId="2" fontId="0" fillId="0" borderId="0" xfId="0" applyNumberFormat="1" applyBorder="1"/>
    <xf numFmtId="0" fontId="3" fillId="0" borderId="0" xfId="0" applyFont="1" applyBorder="1"/>
    <xf numFmtId="1" fontId="0" fillId="0" borderId="0" xfId="0" applyNumberFormat="1" applyFill="1" applyBorder="1" applyAlignment="1">
      <alignment horizontal="center"/>
    </xf>
    <xf numFmtId="168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168" fontId="0" fillId="0" borderId="0" xfId="0" applyNumberFormat="1" applyBorder="1" applyAlignment="1">
      <alignment horizontal="center"/>
    </xf>
    <xf numFmtId="0" fontId="0" fillId="0" borderId="0" xfId="0" applyFill="1" applyBorder="1"/>
    <xf numFmtId="0" fontId="5" fillId="0" borderId="1" xfId="0" applyFont="1" applyFill="1" applyBorder="1" applyAlignment="1"/>
    <xf numFmtId="0" fontId="0" fillId="0" borderId="2" xfId="0" applyBorder="1"/>
    <xf numFmtId="0" fontId="3" fillId="0" borderId="2" xfId="0" applyFont="1" applyFill="1" applyBorder="1" applyAlignment="1">
      <alignment horizontal="left"/>
    </xf>
    <xf numFmtId="0" fontId="3" fillId="0" borderId="2" xfId="0" applyFont="1" applyFill="1" applyBorder="1"/>
    <xf numFmtId="0" fontId="5" fillId="0" borderId="2" xfId="0" applyFont="1" applyFill="1" applyBorder="1" applyAlignment="1">
      <alignment horizontal="left"/>
    </xf>
    <xf numFmtId="164" fontId="0" fillId="0" borderId="0" xfId="0" applyNumberFormat="1" applyFill="1" applyBorder="1"/>
    <xf numFmtId="164" fontId="0" fillId="0" borderId="0" xfId="0" applyNumberFormat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left"/>
    </xf>
    <xf numFmtId="164" fontId="0" fillId="0" borderId="0" xfId="0" applyNumberFormat="1" applyFill="1" applyBorder="1" applyAlignment="1">
      <alignment horizontal="left"/>
    </xf>
    <xf numFmtId="2" fontId="0" fillId="0" borderId="0" xfId="0" applyNumberFormat="1" applyFill="1" applyBorder="1"/>
    <xf numFmtId="0" fontId="2" fillId="0" borderId="0" xfId="0" applyFont="1" applyFill="1" applyBorder="1"/>
    <xf numFmtId="0" fontId="0" fillId="0" borderId="0" xfId="0" applyFont="1" applyFill="1" applyBorder="1"/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9" fontId="2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2" fillId="0" borderId="0" xfId="0" applyFont="1"/>
    <xf numFmtId="167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164" fontId="0" fillId="0" borderId="0" xfId="0" applyNumberFormat="1"/>
    <xf numFmtId="164" fontId="1" fillId="0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Fill="1" applyAlignment="1">
      <alignment horizontal="center"/>
    </xf>
    <xf numFmtId="1" fontId="0" fillId="0" borderId="0" xfId="0" applyNumberFormat="1"/>
    <xf numFmtId="1" fontId="0" fillId="0" borderId="0" xfId="0" applyNumberFormat="1" applyBorder="1"/>
    <xf numFmtId="1" fontId="1" fillId="0" borderId="0" xfId="0" applyNumberFormat="1" applyFont="1" applyFill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1" fillId="0" borderId="0" xfId="0" applyNumberFormat="1" applyFont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167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3" fillId="0" borderId="2" xfId="0" applyFont="1" applyBorder="1"/>
    <xf numFmtId="0" fontId="8" fillId="0" borderId="2" xfId="0" applyFont="1" applyFill="1" applyBorder="1"/>
    <xf numFmtId="0" fontId="0" fillId="0" borderId="2" xfId="0" applyFill="1" applyBorder="1"/>
    <xf numFmtId="0" fontId="11" fillId="0" borderId="2" xfId="0" applyFont="1" applyFill="1" applyBorder="1" applyAlignment="1"/>
    <xf numFmtId="0" fontId="8" fillId="0" borderId="2" xfId="0" applyFont="1" applyFill="1" applyBorder="1" applyAlignment="1">
      <alignment horizontal="left"/>
    </xf>
    <xf numFmtId="164" fontId="3" fillId="0" borderId="2" xfId="0" applyNumberFormat="1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164" fontId="2" fillId="0" borderId="0" xfId="0" applyNumberFormat="1" applyFont="1" applyFill="1" applyBorder="1" applyAlignment="1">
      <alignment horizontal="left"/>
    </xf>
    <xf numFmtId="0" fontId="2" fillId="0" borderId="0" xfId="0" applyFont="1" applyBorder="1"/>
    <xf numFmtId="0" fontId="3" fillId="0" borderId="2" xfId="0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1" fontId="0" fillId="0" borderId="0" xfId="0" applyNumberFormat="1" applyFill="1" applyBorder="1"/>
    <xf numFmtId="1" fontId="0" fillId="0" borderId="0" xfId="0" applyNumberFormat="1" applyBorder="1" applyAlignment="1">
      <alignment horizontal="center"/>
    </xf>
    <xf numFmtId="0" fontId="9" fillId="0" borderId="0" xfId="0" applyFont="1"/>
    <xf numFmtId="165" fontId="3" fillId="0" borderId="2" xfId="0" applyNumberFormat="1" applyFont="1" applyBorder="1" applyAlignment="1">
      <alignment horizontal="center"/>
    </xf>
    <xf numFmtId="2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0" fillId="2" borderId="0" xfId="0" applyFill="1"/>
    <xf numFmtId="0" fontId="0" fillId="3" borderId="0" xfId="0" applyFill="1"/>
    <xf numFmtId="0" fontId="3" fillId="3" borderId="0" xfId="0" applyFont="1" applyFill="1"/>
    <xf numFmtId="0" fontId="2" fillId="3" borderId="2" xfId="0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0" fillId="4" borderId="0" xfId="0" applyFill="1"/>
    <xf numFmtId="168" fontId="2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164" fontId="0" fillId="3" borderId="0" xfId="0" applyNumberFormat="1" applyFill="1" applyBorder="1"/>
    <xf numFmtId="0" fontId="3" fillId="3" borderId="2" xfId="0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3" borderId="0" xfId="0" applyNumberFormat="1" applyFont="1" applyFill="1" applyBorder="1" applyAlignment="1">
      <alignment horizontal="center"/>
    </xf>
    <xf numFmtId="0" fontId="13" fillId="3" borderId="0" xfId="0" applyFont="1" applyFill="1"/>
    <xf numFmtId="0" fontId="13" fillId="2" borderId="0" xfId="0" applyFont="1" applyFill="1"/>
    <xf numFmtId="0" fontId="13" fillId="4" borderId="0" xfId="0" applyFont="1" applyFill="1"/>
    <xf numFmtId="164" fontId="0" fillId="2" borderId="0" xfId="0" applyNumberFormat="1" applyFill="1" applyBorder="1"/>
    <xf numFmtId="0" fontId="0" fillId="3" borderId="0" xfId="0" applyFill="1" applyBorder="1"/>
    <xf numFmtId="164" fontId="0" fillId="4" borderId="0" xfId="0" applyNumberFormat="1" applyFill="1" applyBorder="1"/>
    <xf numFmtId="164" fontId="5" fillId="4" borderId="2" xfId="0" applyNumberFormat="1" applyFont="1" applyFill="1" applyBorder="1" applyAlignment="1">
      <alignment horizontal="center"/>
    </xf>
    <xf numFmtId="164" fontId="13" fillId="4" borderId="0" xfId="0" applyNumberFormat="1" applyFont="1" applyFill="1" applyBorder="1"/>
    <xf numFmtId="164" fontId="13" fillId="2" borderId="0" xfId="0" applyNumberFormat="1" applyFont="1" applyFill="1" applyBorder="1"/>
    <xf numFmtId="164" fontId="13" fillId="3" borderId="0" xfId="0" applyNumberFormat="1" applyFont="1" applyFill="1" applyBorder="1"/>
    <xf numFmtId="0" fontId="12" fillId="5" borderId="0" xfId="0" applyFont="1" applyFill="1" applyBorder="1"/>
    <xf numFmtId="0" fontId="0" fillId="5" borderId="0" xfId="0" applyFill="1" applyBorder="1"/>
    <xf numFmtId="0" fontId="5" fillId="0" borderId="3" xfId="0" applyFont="1" applyFill="1" applyBorder="1" applyAlignment="1"/>
    <xf numFmtId="0" fontId="5" fillId="4" borderId="1" xfId="0" applyFont="1" applyFill="1" applyBorder="1" applyAlignment="1">
      <alignment horizontal="center"/>
    </xf>
    <xf numFmtId="164" fontId="5" fillId="3" borderId="0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164" fontId="5" fillId="4" borderId="0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0" xfId="0" applyFont="1" applyFill="1"/>
    <xf numFmtId="0" fontId="14" fillId="0" borderId="0" xfId="0" applyFont="1"/>
    <xf numFmtId="167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Border="1"/>
    <xf numFmtId="168" fontId="2" fillId="0" borderId="0" xfId="0" applyNumberFormat="1" applyFont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4" fontId="0" fillId="4" borderId="0" xfId="0" applyNumberFormat="1" applyFill="1" applyBorder="1" applyAlignment="1">
      <alignment horizontal="center"/>
    </xf>
    <xf numFmtId="1" fontId="0" fillId="4" borderId="0" xfId="0" applyNumberFormat="1" applyFill="1" applyBorder="1"/>
    <xf numFmtId="1" fontId="13" fillId="4" borderId="0" xfId="0" applyNumberFormat="1" applyFont="1" applyFill="1" applyBorder="1"/>
    <xf numFmtId="1" fontId="0" fillId="4" borderId="0" xfId="0" applyNumberFormat="1" applyFill="1" applyBorder="1" applyAlignment="1">
      <alignment horizontal="center"/>
    </xf>
    <xf numFmtId="1" fontId="5" fillId="4" borderId="2" xfId="0" applyNumberFormat="1" applyFont="1" applyFill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1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164" fontId="0" fillId="0" borderId="4" xfId="0" applyNumberFormat="1" applyFill="1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164" fontId="0" fillId="0" borderId="0" xfId="0" applyNumberFormat="1" applyBorder="1"/>
    <xf numFmtId="0" fontId="0" fillId="2" borderId="4" xfId="0" applyFill="1" applyBorder="1"/>
    <xf numFmtId="0" fontId="0" fillId="2" borderId="5" xfId="0" applyFill="1" applyBorder="1"/>
    <xf numFmtId="164" fontId="0" fillId="0" borderId="4" xfId="0" applyNumberFormat="1" applyBorder="1" applyAlignment="1">
      <alignment horizontal="center"/>
    </xf>
    <xf numFmtId="164" fontId="0" fillId="0" borderId="4" xfId="0" applyNumberFormat="1" applyBorder="1"/>
    <xf numFmtId="164" fontId="2" fillId="0" borderId="4" xfId="0" applyNumberFormat="1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4" borderId="4" xfId="0" applyFill="1" applyBorder="1"/>
    <xf numFmtId="0" fontId="0" fillId="4" borderId="5" xfId="0" applyFill="1" applyBorder="1"/>
    <xf numFmtId="2" fontId="2" fillId="0" borderId="5" xfId="0" applyNumberFormat="1" applyFont="1" applyBorder="1" applyAlignment="1">
      <alignment horizontal="center"/>
    </xf>
    <xf numFmtId="2" fontId="1" fillId="0" borderId="4" xfId="0" applyNumberFormat="1" applyFont="1" applyFill="1" applyBorder="1" applyAlignment="1">
      <alignment horizontal="center"/>
    </xf>
    <xf numFmtId="2" fontId="1" fillId="0" borderId="5" xfId="0" applyNumberFormat="1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/>
    </xf>
    <xf numFmtId="2" fontId="6" fillId="0" borderId="5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167" fontId="0" fillId="0" borderId="0" xfId="0" applyNumberFormat="1" applyBorder="1" applyAlignment="1">
      <alignment horizontal="center"/>
    </xf>
    <xf numFmtId="167" fontId="2" fillId="0" borderId="0" xfId="0" applyNumberFormat="1" applyFon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166" fontId="2" fillId="0" borderId="0" xfId="0" applyNumberFormat="1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2" fontId="2" fillId="0" borderId="4" xfId="0" applyNumberFormat="1" applyFont="1" applyFill="1" applyBorder="1" applyAlignment="1">
      <alignment horizontal="center"/>
    </xf>
    <xf numFmtId="2" fontId="2" fillId="0" borderId="5" xfId="0" applyNumberFormat="1" applyFont="1" applyFill="1" applyBorder="1" applyAlignment="1">
      <alignment horizontal="center"/>
    </xf>
    <xf numFmtId="168" fontId="2" fillId="0" borderId="0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164" fontId="0" fillId="0" borderId="10" xfId="0" applyNumberFormat="1" applyFill="1" applyBorder="1" applyAlignment="1">
      <alignment horizontal="center"/>
    </xf>
    <xf numFmtId="164" fontId="1" fillId="0" borderId="11" xfId="0" applyNumberFormat="1" applyFont="1" applyFill="1" applyBorder="1" applyAlignment="1">
      <alignment horizontal="center"/>
    </xf>
    <xf numFmtId="164" fontId="1" fillId="0" borderId="12" xfId="0" applyNumberFormat="1" applyFont="1" applyFill="1" applyBorder="1" applyAlignment="1">
      <alignment horizontal="center"/>
    </xf>
    <xf numFmtId="1" fontId="0" fillId="0" borderId="11" xfId="0" applyNumberFormat="1" applyFill="1" applyBorder="1" applyAlignment="1">
      <alignment horizontal="center"/>
    </xf>
    <xf numFmtId="1" fontId="0" fillId="0" borderId="12" xfId="0" applyNumberFormat="1" applyFill="1" applyBorder="1" applyAlignment="1">
      <alignment horizontal="center"/>
    </xf>
    <xf numFmtId="1" fontId="0" fillId="0" borderId="12" xfId="0" applyNumberFormat="1" applyFill="1" applyBorder="1"/>
    <xf numFmtId="0" fontId="2" fillId="0" borderId="13" xfId="0" applyFont="1" applyFill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1" fillId="0" borderId="14" xfId="0" applyNumberFormat="1" applyFon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2" fillId="0" borderId="14" xfId="0" applyNumberFormat="1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1" fontId="0" fillId="0" borderId="10" xfId="0" applyNumberFormat="1" applyFill="1" applyBorder="1" applyAlignment="1">
      <alignment horizontal="center"/>
    </xf>
    <xf numFmtId="1" fontId="0" fillId="0" borderId="15" xfId="0" applyNumberFormat="1" applyFill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164" fontId="0" fillId="3" borderId="10" xfId="0" applyNumberFormat="1" applyFill="1" applyBorder="1"/>
    <xf numFmtId="0" fontId="3" fillId="3" borderId="16" xfId="0" applyFont="1" applyFill="1" applyBorder="1" applyAlignment="1">
      <alignment horizontal="center"/>
    </xf>
    <xf numFmtId="164" fontId="5" fillId="3" borderId="17" xfId="0" applyNumberFormat="1" applyFont="1" applyFill="1" applyBorder="1" applyAlignment="1">
      <alignment horizontal="center"/>
    </xf>
    <xf numFmtId="0" fontId="0" fillId="0" borderId="12" xfId="0" applyBorder="1"/>
    <xf numFmtId="0" fontId="0" fillId="0" borderId="10" xfId="0" applyFill="1" applyBorder="1" applyAlignment="1">
      <alignment horizontal="center"/>
    </xf>
    <xf numFmtId="164" fontId="0" fillId="4" borderId="12" xfId="0" applyNumberFormat="1" applyFill="1" applyBorder="1"/>
    <xf numFmtId="164" fontId="0" fillId="4" borderId="10" xfId="0" applyNumberFormat="1" applyFill="1" applyBorder="1"/>
    <xf numFmtId="164" fontId="5" fillId="4" borderId="12" xfId="0" applyNumberFormat="1" applyFont="1" applyFill="1" applyBorder="1" applyAlignment="1">
      <alignment horizontal="center"/>
    </xf>
    <xf numFmtId="164" fontId="5" fillId="4" borderId="10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164" fontId="5" fillId="4" borderId="16" xfId="0" applyNumberFormat="1" applyFont="1" applyFill="1" applyBorder="1" applyAlignment="1">
      <alignment horizontal="center"/>
    </xf>
    <xf numFmtId="164" fontId="5" fillId="4" borderId="17" xfId="0" applyNumberFormat="1" applyFont="1" applyFill="1" applyBorder="1" applyAlignment="1">
      <alignment horizontal="center"/>
    </xf>
    <xf numFmtId="0" fontId="0" fillId="3" borderId="12" xfId="0" applyFill="1" applyBorder="1"/>
    <xf numFmtId="1" fontId="2" fillId="0" borderId="18" xfId="0" applyNumberFormat="1" applyFon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0" fontId="0" fillId="5" borderId="10" xfId="0" applyFill="1" applyBorder="1"/>
    <xf numFmtId="164" fontId="13" fillId="3" borderId="12" xfId="0" applyNumberFormat="1" applyFont="1" applyFill="1" applyBorder="1"/>
    <xf numFmtId="164" fontId="3" fillId="3" borderId="12" xfId="0" applyNumberFormat="1" applyFont="1" applyFill="1" applyBorder="1" applyAlignment="1">
      <alignment horizontal="center"/>
    </xf>
    <xf numFmtId="1" fontId="1" fillId="0" borderId="12" xfId="0" applyNumberFormat="1" applyFont="1" applyFill="1" applyBorder="1" applyAlignment="1">
      <alignment horizontal="center"/>
    </xf>
    <xf numFmtId="1" fontId="1" fillId="0" borderId="10" xfId="0" applyNumberFormat="1" applyFont="1" applyFill="1" applyBorder="1" applyAlignment="1">
      <alignment horizontal="center"/>
    </xf>
    <xf numFmtId="1" fontId="0" fillId="0" borderId="10" xfId="0" applyNumberFormat="1" applyFill="1" applyBorder="1"/>
    <xf numFmtId="1" fontId="0" fillId="4" borderId="12" xfId="0" applyNumberFormat="1" applyFill="1" applyBorder="1"/>
    <xf numFmtId="1" fontId="0" fillId="4" borderId="10" xfId="0" applyNumberFormat="1" applyFill="1" applyBorder="1"/>
    <xf numFmtId="1" fontId="5" fillId="4" borderId="16" xfId="0" applyNumberFormat="1" applyFont="1" applyFill="1" applyBorder="1" applyAlignment="1">
      <alignment horizontal="center"/>
    </xf>
    <xf numFmtId="1" fontId="5" fillId="4" borderId="17" xfId="0" applyNumberFormat="1" applyFont="1" applyFill="1" applyBorder="1" applyAlignment="1">
      <alignment horizontal="center"/>
    </xf>
    <xf numFmtId="1" fontId="0" fillId="0" borderId="18" xfId="0" applyNumberFormat="1" applyFill="1" applyBorder="1" applyAlignment="1">
      <alignment horizontal="center"/>
    </xf>
    <xf numFmtId="1" fontId="7" fillId="0" borderId="12" xfId="0" applyNumberFormat="1" applyFont="1" applyFill="1" applyBorder="1" applyAlignment="1">
      <alignment horizontal="center"/>
    </xf>
    <xf numFmtId="164" fontId="0" fillId="0" borderId="12" xfId="0" applyNumberFormat="1" applyFill="1" applyBorder="1"/>
    <xf numFmtId="164" fontId="0" fillId="0" borderId="10" xfId="0" applyNumberFormat="1" applyFill="1" applyBorder="1"/>
    <xf numFmtId="164" fontId="0" fillId="0" borderId="12" xfId="0" applyNumberFormat="1" applyFill="1" applyBorder="1" applyAlignment="1">
      <alignment horizontal="center"/>
    </xf>
    <xf numFmtId="2" fontId="0" fillId="0" borderId="12" xfId="0" applyNumberFormat="1" applyFill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0" fillId="4" borderId="0" xfId="0" applyFill="1" applyBorder="1"/>
    <xf numFmtId="2" fontId="0" fillId="0" borderId="14" xfId="0" applyNumberFormat="1" applyBorder="1" applyAlignment="1">
      <alignment horizontal="center"/>
    </xf>
    <xf numFmtId="0" fontId="15" fillId="0" borderId="0" xfId="0" applyFont="1" applyAlignment="1">
      <alignment vertical="center"/>
    </xf>
    <xf numFmtId="1" fontId="1" fillId="0" borderId="5" xfId="0" applyNumberFormat="1" applyFont="1" applyBorder="1" applyAlignment="1">
      <alignment horizontal="center"/>
    </xf>
    <xf numFmtId="1" fontId="2" fillId="0" borderId="13" xfId="0" applyNumberFormat="1" applyFont="1" applyBorder="1" applyAlignment="1">
      <alignment horizontal="center"/>
    </xf>
    <xf numFmtId="0" fontId="1" fillId="0" borderId="0" xfId="0" applyFont="1"/>
    <xf numFmtId="2" fontId="0" fillId="0" borderId="12" xfId="0" applyNumberFormat="1" applyBorder="1" applyAlignment="1">
      <alignment horizontal="center"/>
    </xf>
    <xf numFmtId="1" fontId="1" fillId="0" borderId="10" xfId="0" applyNumberFormat="1" applyFont="1" applyFill="1" applyBorder="1"/>
    <xf numFmtId="1" fontId="0" fillId="0" borderId="11" xfId="0" applyNumberFormat="1" applyBorder="1" applyAlignment="1">
      <alignment horizontal="center"/>
    </xf>
    <xf numFmtId="0" fontId="0" fillId="4" borderId="12" xfId="0" applyFill="1" applyBorder="1"/>
    <xf numFmtId="0" fontId="5" fillId="4" borderId="19" xfId="0" applyFont="1" applyFill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0" fillId="2" borderId="12" xfId="0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13" fillId="2" borderId="0" xfId="0" applyFont="1" applyFill="1" applyBorder="1"/>
    <xf numFmtId="0" fontId="0" fillId="2" borderId="10" xfId="0" applyFill="1" applyBorder="1"/>
    <xf numFmtId="0" fontId="3" fillId="2" borderId="0" xfId="0" applyFont="1" applyFill="1" applyBorder="1"/>
    <xf numFmtId="2" fontId="2" fillId="0" borderId="12" xfId="0" applyNumberFormat="1" applyFont="1" applyFill="1" applyBorder="1" applyAlignment="1">
      <alignment horizontal="center"/>
    </xf>
    <xf numFmtId="169" fontId="2" fillId="0" borderId="10" xfId="0" applyNumberFormat="1" applyFont="1" applyFill="1" applyBorder="1" applyAlignment="1">
      <alignment horizontal="center"/>
    </xf>
    <xf numFmtId="169" fontId="2" fillId="0" borderId="12" xfId="0" applyNumberFormat="1" applyFont="1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10" xfId="0" applyBorder="1"/>
    <xf numFmtId="2" fontId="1" fillId="0" borderId="12" xfId="0" applyNumberFormat="1" applyFont="1" applyFill="1" applyBorder="1" applyAlignment="1">
      <alignment horizontal="center"/>
    </xf>
    <xf numFmtId="2" fontId="1" fillId="0" borderId="10" xfId="0" applyNumberFormat="1" applyFont="1" applyFill="1" applyBorder="1" applyAlignment="1">
      <alignment horizontal="center"/>
    </xf>
    <xf numFmtId="0" fontId="2" fillId="0" borderId="15" xfId="0" applyFont="1" applyBorder="1"/>
    <xf numFmtId="0" fontId="2" fillId="0" borderId="10" xfId="0" applyFont="1" applyBorder="1"/>
    <xf numFmtId="0" fontId="0" fillId="0" borderId="15" xfId="0" applyFont="1" applyFill="1" applyBorder="1"/>
    <xf numFmtId="0" fontId="2" fillId="0" borderId="10" xfId="0" applyFont="1" applyFill="1" applyBorder="1"/>
    <xf numFmtId="0" fontId="2" fillId="0" borderId="15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2" fillId="0" borderId="15" xfId="0" applyFont="1" applyFill="1" applyBorder="1"/>
    <xf numFmtId="0" fontId="0" fillId="0" borderId="10" xfId="0" applyFill="1" applyBorder="1"/>
    <xf numFmtId="2" fontId="2" fillId="0" borderId="10" xfId="0" applyNumberFormat="1" applyFont="1" applyFill="1" applyBorder="1" applyAlignment="1">
      <alignment horizontal="left"/>
    </xf>
    <xf numFmtId="2" fontId="0" fillId="0" borderId="10" xfId="0" applyNumberFormat="1" applyFill="1" applyBorder="1" applyAlignment="1">
      <alignment horizontal="left"/>
    </xf>
    <xf numFmtId="164" fontId="2" fillId="0" borderId="15" xfId="0" applyNumberFormat="1" applyFont="1" applyFill="1" applyBorder="1" applyAlignment="1">
      <alignment horizontal="left"/>
    </xf>
    <xf numFmtId="164" fontId="2" fillId="0" borderId="10" xfId="0" applyNumberFormat="1" applyFont="1" applyFill="1" applyBorder="1" applyAlignment="1">
      <alignment horizontal="left"/>
    </xf>
    <xf numFmtId="164" fontId="0" fillId="0" borderId="10" xfId="0" applyNumberFormat="1" applyFill="1" applyBorder="1" applyAlignment="1">
      <alignment horizontal="left"/>
    </xf>
    <xf numFmtId="164" fontId="1" fillId="0" borderId="10" xfId="0" applyNumberFormat="1" applyFont="1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164" fontId="1" fillId="0" borderId="18" xfId="0" applyNumberFormat="1" applyFont="1" applyFill="1" applyBorder="1" applyAlignment="1">
      <alignment horizontal="center"/>
    </xf>
    <xf numFmtId="164" fontId="1" fillId="0" borderId="15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0" fontId="3" fillId="0" borderId="15" xfId="0" applyFont="1" applyBorder="1"/>
    <xf numFmtId="0" fontId="13" fillId="3" borderId="0" xfId="0" applyFont="1" applyFill="1" applyBorder="1"/>
    <xf numFmtId="0" fontId="0" fillId="3" borderId="10" xfId="0" applyFill="1" applyBorder="1"/>
    <xf numFmtId="0" fontId="3" fillId="3" borderId="17" xfId="0" applyFont="1" applyFill="1" applyBorder="1" applyAlignment="1">
      <alignment horizontal="center"/>
    </xf>
    <xf numFmtId="2" fontId="2" fillId="0" borderId="18" xfId="0" applyNumberFormat="1" applyFont="1" applyFill="1" applyBorder="1" applyAlignment="1">
      <alignment horizontal="center"/>
    </xf>
    <xf numFmtId="0" fontId="3" fillId="4" borderId="12" xfId="0" applyFont="1" applyFill="1" applyBorder="1"/>
    <xf numFmtId="0" fontId="3" fillId="4" borderId="0" xfId="0" applyFont="1" applyFill="1" applyBorder="1"/>
    <xf numFmtId="0" fontId="13" fillId="4" borderId="0" xfId="0" applyFont="1" applyFill="1" applyBorder="1"/>
    <xf numFmtId="0" fontId="0" fillId="4" borderId="10" xfId="0" applyFill="1" applyBorder="1"/>
    <xf numFmtId="0" fontId="5" fillId="4" borderId="17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167" fontId="2" fillId="0" borderId="0" xfId="0" applyNumberFormat="1" applyFon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8" xfId="0" applyNumberFormat="1" applyFill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6" fillId="0" borderId="12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0" fillId="0" borderId="10" xfId="0" applyNumberFormat="1" applyBorder="1"/>
    <xf numFmtId="164" fontId="5" fillId="3" borderId="12" xfId="0" applyNumberFormat="1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164" fontId="0" fillId="0" borderId="14" xfId="0" applyNumberFormat="1" applyFill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64" fontId="3" fillId="2" borderId="12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164" fontId="5" fillId="2" borderId="10" xfId="0" applyNumberFormat="1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2" fontId="2" fillId="0" borderId="10" xfId="0" applyNumberFormat="1" applyFont="1" applyFill="1" applyBorder="1" applyAlignment="1">
      <alignment horizontal="center"/>
    </xf>
    <xf numFmtId="164" fontId="2" fillId="0" borderId="12" xfId="0" applyNumberFormat="1" applyFont="1" applyFill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2" fontId="1" fillId="2" borderId="16" xfId="0" applyNumberFormat="1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168" fontId="1" fillId="4" borderId="2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16" fillId="0" borderId="0" xfId="0" applyFont="1" applyBorder="1"/>
    <xf numFmtId="0" fontId="1" fillId="0" borderId="10" xfId="0" applyFont="1" applyFill="1" applyBorder="1"/>
    <xf numFmtId="168" fontId="1" fillId="0" borderId="0" xfId="0" applyNumberFormat="1" applyFont="1" applyAlignment="1">
      <alignment horizontal="center"/>
    </xf>
    <xf numFmtId="0" fontId="1" fillId="0" borderId="0" xfId="0" applyFont="1" applyBorder="1"/>
    <xf numFmtId="1" fontId="16" fillId="0" borderId="0" xfId="0" applyNumberFormat="1" applyFont="1" applyBorder="1"/>
    <xf numFmtId="1" fontId="16" fillId="0" borderId="0" xfId="0" applyNumberFormat="1" applyFont="1" applyBorder="1" applyAlignment="1">
      <alignment horizontal="right"/>
    </xf>
    <xf numFmtId="1" fontId="16" fillId="0" borderId="0" xfId="0" applyNumberFormat="1" applyFont="1" applyFill="1" applyBorder="1" applyAlignment="1">
      <alignment horizontal="center"/>
    </xf>
    <xf numFmtId="1" fontId="16" fillId="0" borderId="0" xfId="0" applyNumberFormat="1" applyFont="1" applyBorder="1" applyAlignment="1">
      <alignment horizontal="center"/>
    </xf>
    <xf numFmtId="0" fontId="16" fillId="0" borderId="0" xfId="0" applyFont="1" applyFill="1" applyBorder="1"/>
    <xf numFmtId="168" fontId="2" fillId="0" borderId="12" xfId="0" applyNumberFormat="1" applyFont="1" applyBorder="1" applyAlignment="1">
      <alignment horizontal="center"/>
    </xf>
    <xf numFmtId="168" fontId="0" fillId="0" borderId="10" xfId="0" applyNumberForma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0" fontId="3" fillId="5" borderId="2" xfId="0" applyFont="1" applyFill="1" applyBorder="1"/>
    <xf numFmtId="0" fontId="3" fillId="5" borderId="17" xfId="0" applyFont="1" applyFill="1" applyBorder="1"/>
    <xf numFmtId="2" fontId="1" fillId="0" borderId="5" xfId="0" applyNumberFormat="1" applyFont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3" fillId="5" borderId="0" xfId="0" applyFont="1" applyFill="1" applyBorder="1"/>
    <xf numFmtId="0" fontId="3" fillId="5" borderId="10" xfId="0" applyFont="1" applyFill="1" applyBorder="1"/>
    <xf numFmtId="0" fontId="3" fillId="5" borderId="0" xfId="0" applyFont="1" applyFill="1" applyBorder="1" applyAlignment="1">
      <alignment horizontal="center"/>
    </xf>
    <xf numFmtId="0" fontId="1" fillId="5" borderId="0" xfId="0" applyFont="1" applyFill="1" applyBorder="1"/>
    <xf numFmtId="0" fontId="1" fillId="5" borderId="10" xfId="0" applyFont="1" applyFill="1" applyBorder="1"/>
    <xf numFmtId="0" fontId="1" fillId="5" borderId="16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3" fillId="0" borderId="20" xfId="0" applyFont="1" applyBorder="1"/>
    <xf numFmtId="0" fontId="17" fillId="0" borderId="10" xfId="0" applyFont="1" applyBorder="1"/>
    <xf numFmtId="164" fontId="1" fillId="0" borderId="12" xfId="0" applyNumberFormat="1" applyFont="1" applyBorder="1" applyAlignment="1">
      <alignment horizontal="center"/>
    </xf>
    <xf numFmtId="1" fontId="17" fillId="0" borderId="0" xfId="0" applyNumberFormat="1" applyFont="1" applyFill="1" applyBorder="1" applyAlignment="1">
      <alignment horizontal="center"/>
    </xf>
    <xf numFmtId="1" fontId="17" fillId="0" borderId="10" xfId="0" applyNumberFormat="1" applyFont="1" applyFill="1" applyBorder="1" applyAlignment="1">
      <alignment horizontal="center"/>
    </xf>
    <xf numFmtId="1" fontId="17" fillId="0" borderId="0" xfId="0" applyNumberFormat="1" applyFont="1" applyBorder="1" applyAlignment="1">
      <alignment horizontal="center"/>
    </xf>
    <xf numFmtId="0" fontId="16" fillId="0" borderId="10" xfId="0" applyFont="1" applyFill="1" applyBorder="1"/>
    <xf numFmtId="168" fontId="1" fillId="0" borderId="0" xfId="0" applyNumberFormat="1" applyFont="1" applyBorder="1" applyAlignment="1">
      <alignment horizontal="center"/>
    </xf>
    <xf numFmtId="1" fontId="18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1" fontId="1" fillId="0" borderId="18" xfId="0" applyNumberFormat="1" applyFont="1" applyFill="1" applyBorder="1" applyAlignment="1">
      <alignment horizontal="center"/>
    </xf>
    <xf numFmtId="1" fontId="1" fillId="0" borderId="15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168" fontId="0" fillId="0" borderId="0" xfId="0" applyNumberFormat="1" applyFill="1" applyBorder="1" applyAlignment="1">
      <alignment horizontal="center"/>
    </xf>
    <xf numFmtId="0" fontId="13" fillId="0" borderId="0" xfId="0" applyFont="1" applyFill="1" applyBorder="1"/>
    <xf numFmtId="16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/>
    <xf numFmtId="0" fontId="9" fillId="0" borderId="0" xfId="0" applyFont="1" applyFill="1" applyBorder="1" applyAlignment="1">
      <alignment vertical="center" wrapText="1"/>
    </xf>
    <xf numFmtId="1" fontId="1" fillId="0" borderId="11" xfId="0" applyNumberFormat="1" applyFont="1" applyFill="1" applyBorder="1" applyAlignment="1">
      <alignment horizontal="center"/>
    </xf>
    <xf numFmtId="0" fontId="0" fillId="0" borderId="12" xfId="0" applyFill="1" applyBorder="1"/>
    <xf numFmtId="1" fontId="0" fillId="0" borderId="4" xfId="0" applyNumberFormat="1" applyFill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2" fontId="0" fillId="2" borderId="4" xfId="0" applyNumberFormat="1" applyFill="1" applyBorder="1"/>
    <xf numFmtId="2" fontId="0" fillId="2" borderId="5" xfId="0" applyNumberFormat="1" applyFill="1" applyBorder="1"/>
    <xf numFmtId="2" fontId="0" fillId="2" borderId="0" xfId="0" applyNumberFormat="1" applyFill="1"/>
    <xf numFmtId="2" fontId="13" fillId="2" borderId="0" xfId="0" applyNumberFormat="1" applyFont="1" applyFill="1"/>
    <xf numFmtId="2" fontId="0" fillId="2" borderId="0" xfId="0" applyNumberFormat="1" applyFill="1" applyBorder="1"/>
    <xf numFmtId="2" fontId="1" fillId="2" borderId="0" xfId="0" applyNumberFormat="1" applyFont="1" applyFill="1"/>
    <xf numFmtId="2" fontId="3" fillId="2" borderId="0" xfId="0" applyNumberFormat="1" applyFont="1" applyFill="1" applyAlignment="1">
      <alignment horizontal="center"/>
    </xf>
    <xf numFmtId="2" fontId="3" fillId="2" borderId="6" xfId="0" applyNumberFormat="1" applyFont="1" applyFill="1" applyBorder="1" applyAlignment="1">
      <alignment horizontal="center"/>
    </xf>
    <xf numFmtId="2" fontId="3" fillId="2" borderId="7" xfId="0" applyNumberFormat="1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168" fontId="17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0" fontId="2" fillId="0" borderId="21" xfId="0" applyFont="1" applyBorder="1"/>
    <xf numFmtId="0" fontId="0" fillId="0" borderId="21" xfId="0" applyBorder="1" applyAlignment="1">
      <alignment horizontal="center"/>
    </xf>
    <xf numFmtId="165" fontId="2" fillId="0" borderId="21" xfId="0" applyNumberFormat="1" applyFont="1" applyBorder="1" applyAlignment="1">
      <alignment horizontal="center"/>
    </xf>
    <xf numFmtId="0" fontId="0" fillId="0" borderId="21" xfId="0" applyFill="1" applyBorder="1"/>
    <xf numFmtId="2" fontId="0" fillId="0" borderId="21" xfId="0" applyNumberFormat="1" applyFill="1" applyBorder="1" applyAlignment="1">
      <alignment horizontal="left"/>
    </xf>
    <xf numFmtId="164" fontId="0" fillId="0" borderId="21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0" fontId="2" fillId="0" borderId="21" xfId="0" applyFont="1" applyBorder="1" applyAlignment="1">
      <alignment horizontal="center"/>
    </xf>
    <xf numFmtId="14" fontId="2" fillId="0" borderId="21" xfId="0" applyNumberFormat="1" applyFont="1" applyBorder="1" applyAlignment="1">
      <alignment horizontal="center"/>
    </xf>
    <xf numFmtId="14" fontId="0" fillId="0" borderId="21" xfId="0" applyNumberFormat="1" applyBorder="1" applyAlignment="1">
      <alignment horizontal="center"/>
    </xf>
    <xf numFmtId="0" fontId="0" fillId="0" borderId="21" xfId="0" applyBorder="1"/>
    <xf numFmtId="164" fontId="5" fillId="3" borderId="0" xfId="0" applyNumberFormat="1" applyFont="1" applyFill="1" applyBorder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1" fillId="0" borderId="18" xfId="0" applyFont="1" applyBorder="1"/>
    <xf numFmtId="166" fontId="1" fillId="0" borderId="0" xfId="0" applyNumberFormat="1" applyFont="1" applyFill="1" applyBorder="1" applyAlignment="1">
      <alignment horizontal="center"/>
    </xf>
    <xf numFmtId="0" fontId="0" fillId="0" borderId="15" xfId="0" applyFill="1" applyBorder="1"/>
    <xf numFmtId="0" fontId="0" fillId="0" borderId="0" xfId="0" applyAlignment="1"/>
    <xf numFmtId="1" fontId="1" fillId="0" borderId="0" xfId="0" applyNumberFormat="1" applyFont="1" applyAlignment="1">
      <alignment horizontal="center"/>
    </xf>
    <xf numFmtId="2" fontId="0" fillId="0" borderId="22" xfId="0" applyNumberFormat="1" applyFill="1" applyBorder="1" applyAlignment="1">
      <alignment horizontal="center"/>
    </xf>
    <xf numFmtId="164" fontId="6" fillId="0" borderId="15" xfId="0" applyNumberFormat="1" applyFont="1" applyFill="1" applyBorder="1" applyAlignment="1">
      <alignment horizontal="center"/>
    </xf>
    <xf numFmtId="164" fontId="6" fillId="0" borderId="10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3" fillId="5" borderId="12" xfId="0" applyFont="1" applyFill="1" applyBorder="1" applyAlignment="1">
      <alignment horizontal="center"/>
    </xf>
    <xf numFmtId="0" fontId="13" fillId="5" borderId="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5" xfId="0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164" fontId="5" fillId="3" borderId="5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64" fontId="5" fillId="3" borderId="0" xfId="0" applyNumberFormat="1" applyFont="1" applyFill="1" applyBorder="1" applyAlignment="1">
      <alignment horizontal="center"/>
    </xf>
    <xf numFmtId="164" fontId="5" fillId="3" borderId="10" xfId="0" applyNumberFormat="1" applyFont="1" applyFill="1" applyBorder="1" applyAlignment="1">
      <alignment horizontal="center"/>
    </xf>
    <xf numFmtId="164" fontId="5" fillId="4" borderId="4" xfId="0" applyNumberFormat="1" applyFont="1" applyFill="1" applyBorder="1" applyAlignment="1">
      <alignment horizontal="center"/>
    </xf>
    <xf numFmtId="164" fontId="5" fillId="4" borderId="5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2" fontId="1" fillId="2" borderId="5" xfId="0" applyNumberFormat="1" applyFont="1" applyFill="1" applyBorder="1" applyAlignment="1">
      <alignment horizontal="center"/>
    </xf>
    <xf numFmtId="2" fontId="1" fillId="2" borderId="0" xfId="0" applyNumberFormat="1" applyFont="1" applyFill="1" applyAlignment="1">
      <alignment horizontal="center"/>
    </xf>
    <xf numFmtId="2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jpe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9.jpeg"/><Relationship Id="rId1" Type="http://schemas.openxmlformats.org/officeDocument/2006/relationships/image" Target="../media/image1.png"/><Relationship Id="rId5" Type="http://schemas.openxmlformats.org/officeDocument/2006/relationships/image" Target="../media/image31.emf"/><Relationship Id="rId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jpeg"/><Relationship Id="rId3" Type="http://schemas.openxmlformats.org/officeDocument/2006/relationships/image" Target="../media/image10.jpeg"/><Relationship Id="rId7" Type="http://schemas.openxmlformats.org/officeDocument/2006/relationships/image" Target="../media/image14.png"/><Relationship Id="rId2" Type="http://schemas.openxmlformats.org/officeDocument/2006/relationships/image" Target="../media/image2.png"/><Relationship Id="rId1" Type="http://schemas.openxmlformats.org/officeDocument/2006/relationships/image" Target="../media/image9.jpeg"/><Relationship Id="rId6" Type="http://schemas.openxmlformats.org/officeDocument/2006/relationships/image" Target="../media/image13.jpeg"/><Relationship Id="rId11" Type="http://schemas.openxmlformats.org/officeDocument/2006/relationships/image" Target="../media/image18.emf"/><Relationship Id="rId5" Type="http://schemas.openxmlformats.org/officeDocument/2006/relationships/image" Target="../media/image12.jpeg"/><Relationship Id="rId10" Type="http://schemas.openxmlformats.org/officeDocument/2006/relationships/image" Target="../media/image17.emf"/><Relationship Id="rId4" Type="http://schemas.openxmlformats.org/officeDocument/2006/relationships/image" Target="../media/image11.jpeg"/><Relationship Id="rId9" Type="http://schemas.openxmlformats.org/officeDocument/2006/relationships/image" Target="../media/image16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2.png"/><Relationship Id="rId1" Type="http://schemas.openxmlformats.org/officeDocument/2006/relationships/image" Target="../media/image9.jpeg"/><Relationship Id="rId6" Type="http://schemas.openxmlformats.org/officeDocument/2006/relationships/image" Target="../media/image21.emf"/><Relationship Id="rId5" Type="http://schemas.openxmlformats.org/officeDocument/2006/relationships/image" Target="../media/image20.emf"/><Relationship Id="rId4" Type="http://schemas.openxmlformats.org/officeDocument/2006/relationships/image" Target="../media/image19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2.png"/><Relationship Id="rId1" Type="http://schemas.openxmlformats.org/officeDocument/2006/relationships/image" Target="../media/image9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9.jpeg"/><Relationship Id="rId1" Type="http://schemas.openxmlformats.org/officeDocument/2006/relationships/image" Target="../media/image2.png"/><Relationship Id="rId5" Type="http://schemas.openxmlformats.org/officeDocument/2006/relationships/image" Target="../media/image23.emf"/><Relationship Id="rId4" Type="http://schemas.openxmlformats.org/officeDocument/2006/relationships/image" Target="../media/image22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2.png"/><Relationship Id="rId1" Type="http://schemas.openxmlformats.org/officeDocument/2006/relationships/image" Target="../media/image9.jpeg"/><Relationship Id="rId4" Type="http://schemas.openxmlformats.org/officeDocument/2006/relationships/image" Target="../media/image24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9.jpeg"/><Relationship Id="rId1" Type="http://schemas.openxmlformats.org/officeDocument/2006/relationships/image" Target="../media/image26.png"/><Relationship Id="rId5" Type="http://schemas.openxmlformats.org/officeDocument/2006/relationships/image" Target="../media/image28.jpeg"/><Relationship Id="rId4" Type="http://schemas.openxmlformats.org/officeDocument/2006/relationships/image" Target="../media/image2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9.jpeg"/><Relationship Id="rId1" Type="http://schemas.openxmlformats.org/officeDocument/2006/relationships/image" Target="../media/image26.png"/><Relationship Id="rId5" Type="http://schemas.openxmlformats.org/officeDocument/2006/relationships/image" Target="../media/image29.jpeg"/><Relationship Id="rId4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9.jpeg"/><Relationship Id="rId1" Type="http://schemas.openxmlformats.org/officeDocument/2006/relationships/image" Target="../media/image2.png"/><Relationship Id="rId5" Type="http://schemas.openxmlformats.org/officeDocument/2006/relationships/image" Target="../media/image30.emf"/><Relationship Id="rId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182546</xdr:colOff>
      <xdr:row>3</xdr:row>
      <xdr:rowOff>2874</xdr:rowOff>
    </xdr:from>
    <xdr:to>
      <xdr:col>15</xdr:col>
      <xdr:colOff>187445</xdr:colOff>
      <xdr:row>8</xdr:row>
      <xdr:rowOff>47625</xdr:rowOff>
    </xdr:to>
    <xdr:pic>
      <xdr:nvPicPr>
        <xdr:cNvPr id="7181" name="Picture 1" descr="header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88146" y="488649"/>
          <a:ext cx="2443299" cy="854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152401</xdr:colOff>
      <xdr:row>12</xdr:row>
      <xdr:rowOff>16353</xdr:rowOff>
    </xdr:from>
    <xdr:to>
      <xdr:col>14</xdr:col>
      <xdr:colOff>163903</xdr:colOff>
      <xdr:row>20</xdr:row>
      <xdr:rowOff>31462</xdr:rowOff>
    </xdr:to>
    <xdr:pic>
      <xdr:nvPicPr>
        <xdr:cNvPr id="7182" name="Picture 3" descr="FW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67601" y="1959453"/>
          <a:ext cx="1230702" cy="1310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612475</xdr:colOff>
      <xdr:row>33</xdr:row>
      <xdr:rowOff>129396</xdr:rowOff>
    </xdr:from>
    <xdr:to>
      <xdr:col>23</xdr:col>
      <xdr:colOff>319177</xdr:colOff>
      <xdr:row>47</xdr:row>
      <xdr:rowOff>0</xdr:rowOff>
    </xdr:to>
    <xdr:pic>
      <xdr:nvPicPr>
        <xdr:cNvPr id="7183" name="Picture 4" descr="DSCN005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12000"/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6666" b="20000"/>
        <a:stretch>
          <a:fillRect/>
        </a:stretch>
      </xdr:blipFill>
      <xdr:spPr bwMode="auto">
        <a:xfrm>
          <a:off x="6823494" y="5572664"/>
          <a:ext cx="7781027" cy="2165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543464</xdr:colOff>
      <xdr:row>52</xdr:row>
      <xdr:rowOff>132451</xdr:rowOff>
    </xdr:from>
    <xdr:to>
      <xdr:col>20</xdr:col>
      <xdr:colOff>474453</xdr:colOff>
      <xdr:row>77</xdr:row>
      <xdr:rowOff>108549</xdr:rowOff>
    </xdr:to>
    <xdr:pic>
      <xdr:nvPicPr>
        <xdr:cNvPr id="7184" name="Picture 5" descr="snarc ponds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639464" y="8609701"/>
          <a:ext cx="6026989" cy="4024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17253</xdr:colOff>
      <xdr:row>15</xdr:row>
      <xdr:rowOff>8626</xdr:rowOff>
    </xdr:from>
    <xdr:to>
      <xdr:col>23</xdr:col>
      <xdr:colOff>8626</xdr:colOff>
      <xdr:row>27</xdr:row>
      <xdr:rowOff>77638</xdr:rowOff>
    </xdr:to>
    <xdr:pic>
      <xdr:nvPicPr>
        <xdr:cNvPr id="7185" name="Picture 9" descr="HSB on ice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575985" y="2467155"/>
          <a:ext cx="3717985" cy="2035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10</xdr:col>
      <xdr:colOff>8626</xdr:colOff>
      <xdr:row>69</xdr:row>
      <xdr:rowOff>60385</xdr:rowOff>
    </xdr:to>
    <xdr:sp macro="" textlink="">
      <xdr:nvSpPr>
        <xdr:cNvPr id="7186" name="Object 8" hidden="1"/>
        <xdr:cNvSpPr>
          <a:spLocks noChangeArrowheads="1"/>
        </xdr:cNvSpPr>
      </xdr:nvSpPr>
      <xdr:spPr bwMode="auto">
        <a:xfrm>
          <a:off x="621102" y="8428008"/>
          <a:ext cx="5598543" cy="3010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17253</xdr:colOff>
      <xdr:row>2</xdr:row>
      <xdr:rowOff>25879</xdr:rowOff>
    </xdr:from>
    <xdr:to>
      <xdr:col>22</xdr:col>
      <xdr:colOff>543464</xdr:colOff>
      <xdr:row>13</xdr:row>
      <xdr:rowOff>60385</xdr:rowOff>
    </xdr:to>
    <xdr:sp macro="" textlink="">
      <xdr:nvSpPr>
        <xdr:cNvPr id="7187" name="Object 9" hidden="1"/>
        <xdr:cNvSpPr>
          <a:spLocks noChangeArrowheads="1"/>
        </xdr:cNvSpPr>
      </xdr:nvSpPr>
      <xdr:spPr bwMode="auto">
        <a:xfrm>
          <a:off x="10575985" y="353683"/>
          <a:ext cx="3631721" cy="1837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8626</xdr:colOff>
      <xdr:row>46</xdr:row>
      <xdr:rowOff>25879</xdr:rowOff>
    </xdr:to>
    <xdr:sp macro="" textlink="">
      <xdr:nvSpPr>
        <xdr:cNvPr id="7188" name="Object 12" hidden="1"/>
        <xdr:cNvSpPr>
          <a:spLocks noChangeArrowheads="1"/>
        </xdr:cNvSpPr>
      </xdr:nvSpPr>
      <xdr:spPr bwMode="auto">
        <a:xfrm>
          <a:off x="621102" y="327804"/>
          <a:ext cx="5598543" cy="7272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10</xdr:col>
      <xdr:colOff>8626</xdr:colOff>
      <xdr:row>69</xdr:row>
      <xdr:rowOff>60385</xdr:rowOff>
    </xdr:to>
    <xdr:sp macro="" textlink="">
      <xdr:nvSpPr>
        <xdr:cNvPr id="7192" name="Object 8" hidden="1"/>
        <xdr:cNvSpPr>
          <a:spLocks noChangeArrowheads="1"/>
        </xdr:cNvSpPr>
      </xdr:nvSpPr>
      <xdr:spPr bwMode="auto">
        <a:xfrm>
          <a:off x="621102" y="8428008"/>
          <a:ext cx="5598543" cy="3010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17253</xdr:colOff>
      <xdr:row>2</xdr:row>
      <xdr:rowOff>25879</xdr:rowOff>
    </xdr:from>
    <xdr:to>
      <xdr:col>22</xdr:col>
      <xdr:colOff>543464</xdr:colOff>
      <xdr:row>13</xdr:row>
      <xdr:rowOff>60385</xdr:rowOff>
    </xdr:to>
    <xdr:sp macro="" textlink="">
      <xdr:nvSpPr>
        <xdr:cNvPr id="7193" name="Object 10" hidden="1"/>
        <xdr:cNvSpPr>
          <a:spLocks noChangeArrowheads="1"/>
        </xdr:cNvSpPr>
      </xdr:nvSpPr>
      <xdr:spPr bwMode="auto">
        <a:xfrm>
          <a:off x="10575985" y="353683"/>
          <a:ext cx="3631721" cy="1837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8626</xdr:colOff>
      <xdr:row>46</xdr:row>
      <xdr:rowOff>25879</xdr:rowOff>
    </xdr:to>
    <xdr:sp macro="" textlink="">
      <xdr:nvSpPr>
        <xdr:cNvPr id="7194" name="Object 12" hidden="1"/>
        <xdr:cNvSpPr>
          <a:spLocks noChangeArrowheads="1"/>
        </xdr:cNvSpPr>
      </xdr:nvSpPr>
      <xdr:spPr bwMode="auto">
        <a:xfrm>
          <a:off x="621102" y="327804"/>
          <a:ext cx="5598543" cy="7272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4</xdr:row>
      <xdr:rowOff>23275</xdr:rowOff>
    </xdr:from>
    <xdr:to>
      <xdr:col>23</xdr:col>
      <xdr:colOff>38100</xdr:colOff>
      <xdr:row>13</xdr:row>
      <xdr:rowOff>93406</xdr:rowOff>
    </xdr:to>
    <xdr:pic>
      <xdr:nvPicPr>
        <xdr:cNvPr id="15" name="Picture 14" descr="DSCN1153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t="35677" r="3125" b="10938"/>
        <a:stretch>
          <a:fillRect/>
        </a:stretch>
      </xdr:blipFill>
      <xdr:spPr>
        <a:xfrm>
          <a:off x="10363200" y="670975"/>
          <a:ext cx="3695700" cy="1527456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47</xdr:row>
      <xdr:rowOff>38100</xdr:rowOff>
    </xdr:from>
    <xdr:to>
      <xdr:col>9</xdr:col>
      <xdr:colOff>466725</xdr:colOff>
      <xdr:row>64</xdr:row>
      <xdr:rowOff>57150</xdr:rowOff>
    </xdr:to>
    <xdr:pic>
      <xdr:nvPicPr>
        <xdr:cNvPr id="17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57200" y="7677150"/>
          <a:ext cx="5495925" cy="2800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428625</xdr:colOff>
      <xdr:row>3</xdr:row>
      <xdr:rowOff>38100</xdr:rowOff>
    </xdr:from>
    <xdr:to>
      <xdr:col>9</xdr:col>
      <xdr:colOff>438150</xdr:colOff>
      <xdr:row>46</xdr:row>
      <xdr:rowOff>57150</xdr:rowOff>
    </xdr:to>
    <xdr:pic>
      <xdr:nvPicPr>
        <xdr:cNvPr id="5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28625" y="523875"/>
          <a:ext cx="5495925" cy="701040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542375</xdr:colOff>
      <xdr:row>6</xdr:row>
      <xdr:rowOff>18150</xdr:rowOff>
    </xdr:from>
    <xdr:to>
      <xdr:col>15</xdr:col>
      <xdr:colOff>387471</xdr:colOff>
      <xdr:row>11</xdr:row>
      <xdr:rowOff>9524</xdr:rowOff>
    </xdr:to>
    <xdr:pic>
      <xdr:nvPicPr>
        <xdr:cNvPr id="6153" name="Picture 1" descr="header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247975" y="989700"/>
          <a:ext cx="2283496" cy="800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482766</xdr:colOff>
      <xdr:row>14</xdr:row>
      <xdr:rowOff>123824</xdr:rowOff>
    </xdr:from>
    <xdr:to>
      <xdr:col>15</xdr:col>
      <xdr:colOff>206316</xdr:colOff>
      <xdr:row>22</xdr:row>
      <xdr:rowOff>57149</xdr:rowOff>
    </xdr:to>
    <xdr:pic>
      <xdr:nvPicPr>
        <xdr:cNvPr id="6154" name="Picture 2" descr="Trout Grains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425" r="5310" b="15483"/>
        <a:stretch>
          <a:fillRect/>
        </a:stretch>
      </xdr:blipFill>
      <xdr:spPr bwMode="auto">
        <a:xfrm>
          <a:off x="7188366" y="2390774"/>
          <a:ext cx="216195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251963</xdr:colOff>
      <xdr:row>5</xdr:row>
      <xdr:rowOff>148806</xdr:rowOff>
    </xdr:from>
    <xdr:to>
      <xdr:col>19</xdr:col>
      <xdr:colOff>295275</xdr:colOff>
      <xdr:row>14</xdr:row>
      <xdr:rowOff>55276</xdr:rowOff>
    </xdr:to>
    <xdr:pic>
      <xdr:nvPicPr>
        <xdr:cNvPr id="6155" name="Picture 3" descr="FWS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615163" y="958431"/>
          <a:ext cx="1262512" cy="1363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95250</xdr:colOff>
      <xdr:row>24</xdr:row>
      <xdr:rowOff>66675</xdr:rowOff>
    </xdr:from>
    <xdr:to>
      <xdr:col>15</xdr:col>
      <xdr:colOff>51219</xdr:colOff>
      <xdr:row>34</xdr:row>
      <xdr:rowOff>132017</xdr:rowOff>
    </xdr:to>
    <xdr:pic>
      <xdr:nvPicPr>
        <xdr:cNvPr id="615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10450" y="3952875"/>
          <a:ext cx="1784769" cy="1684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10</xdr:col>
      <xdr:colOff>8626</xdr:colOff>
      <xdr:row>34</xdr:row>
      <xdr:rowOff>34506</xdr:rowOff>
    </xdr:to>
    <xdr:sp macro="" textlink="">
      <xdr:nvSpPr>
        <xdr:cNvPr id="6157" name="Object 8" hidden="1"/>
        <xdr:cNvSpPr>
          <a:spLocks noChangeArrowheads="1"/>
        </xdr:cNvSpPr>
      </xdr:nvSpPr>
      <xdr:spPr bwMode="auto">
        <a:xfrm>
          <a:off x="621102" y="819509"/>
          <a:ext cx="5598543" cy="4787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10</xdr:col>
      <xdr:colOff>8626</xdr:colOff>
      <xdr:row>34</xdr:row>
      <xdr:rowOff>34506</xdr:rowOff>
    </xdr:to>
    <xdr:sp macro="" textlink="">
      <xdr:nvSpPr>
        <xdr:cNvPr id="6159" name="Object 8" hidden="1"/>
        <xdr:cNvSpPr>
          <a:spLocks noChangeArrowheads="1"/>
        </xdr:cNvSpPr>
      </xdr:nvSpPr>
      <xdr:spPr bwMode="auto">
        <a:xfrm>
          <a:off x="621102" y="819509"/>
          <a:ext cx="5598543" cy="4787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466725</xdr:colOff>
      <xdr:row>4</xdr:row>
      <xdr:rowOff>104775</xdr:rowOff>
    </xdr:from>
    <xdr:to>
      <xdr:col>9</xdr:col>
      <xdr:colOff>476250</xdr:colOff>
      <xdr:row>32</xdr:row>
      <xdr:rowOff>38100</xdr:rowOff>
    </xdr:to>
    <xdr:pic>
      <xdr:nvPicPr>
        <xdr:cNvPr id="615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66725" y="752475"/>
          <a:ext cx="5495925" cy="44672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1431985</xdr:colOff>
      <xdr:row>2</xdr:row>
      <xdr:rowOff>25879</xdr:rowOff>
    </xdr:from>
    <xdr:to>
      <xdr:col>12</xdr:col>
      <xdr:colOff>603849</xdr:colOff>
      <xdr:row>8</xdr:row>
      <xdr:rowOff>103517</xdr:rowOff>
    </xdr:to>
    <xdr:pic>
      <xdr:nvPicPr>
        <xdr:cNvPr id="1053" name="Picture 1" descr="Trout Grain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425" r="5310" b="15483"/>
        <a:stretch>
          <a:fillRect/>
        </a:stretch>
      </xdr:blipFill>
      <xdr:spPr bwMode="auto">
        <a:xfrm>
          <a:off x="7021902" y="353683"/>
          <a:ext cx="1923690" cy="1061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439947</xdr:colOff>
      <xdr:row>1</xdr:row>
      <xdr:rowOff>163902</xdr:rowOff>
    </xdr:from>
    <xdr:to>
      <xdr:col>15</xdr:col>
      <xdr:colOff>207034</xdr:colOff>
      <xdr:row>8</xdr:row>
      <xdr:rowOff>86264</xdr:rowOff>
    </xdr:to>
    <xdr:pic>
      <xdr:nvPicPr>
        <xdr:cNvPr id="1054" name="Picture 4" descr="FW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02792" y="327804"/>
          <a:ext cx="1009291" cy="106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8626</xdr:colOff>
      <xdr:row>92</xdr:row>
      <xdr:rowOff>0</xdr:rowOff>
    </xdr:from>
    <xdr:to>
      <xdr:col>17</xdr:col>
      <xdr:colOff>189781</xdr:colOff>
      <xdr:row>109</xdr:row>
      <xdr:rowOff>51758</xdr:rowOff>
    </xdr:to>
    <xdr:pic>
      <xdr:nvPicPr>
        <xdr:cNvPr id="1055" name="Picture 7" descr="DSCN4505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b="16049"/>
        <a:stretch>
          <a:fillRect/>
        </a:stretch>
      </xdr:blipFill>
      <xdr:spPr bwMode="auto">
        <a:xfrm>
          <a:off x="7108166" y="15078974"/>
          <a:ext cx="4528868" cy="2838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25879</xdr:colOff>
      <xdr:row>22</xdr:row>
      <xdr:rowOff>155275</xdr:rowOff>
    </xdr:from>
    <xdr:to>
      <xdr:col>15</xdr:col>
      <xdr:colOff>388189</xdr:colOff>
      <xdr:row>47</xdr:row>
      <xdr:rowOff>155275</xdr:rowOff>
    </xdr:to>
    <xdr:pic>
      <xdr:nvPicPr>
        <xdr:cNvPr id="1056" name="Picture 8" descr="DSCN004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4667" t="5333" r="28000" b="5779"/>
        <a:stretch>
          <a:fillRect/>
        </a:stretch>
      </xdr:blipFill>
      <xdr:spPr bwMode="auto">
        <a:xfrm>
          <a:off x="7125419" y="3761117"/>
          <a:ext cx="3467819" cy="4097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8626</xdr:colOff>
      <xdr:row>58</xdr:row>
      <xdr:rowOff>34506</xdr:rowOff>
    </xdr:from>
    <xdr:to>
      <xdr:col>15</xdr:col>
      <xdr:colOff>448574</xdr:colOff>
      <xdr:row>78</xdr:row>
      <xdr:rowOff>34506</xdr:rowOff>
    </xdr:to>
    <xdr:pic>
      <xdr:nvPicPr>
        <xdr:cNvPr id="1057" name="Picture 9" descr="DSCN068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2331" t="2887" r="16977" b="22041"/>
        <a:stretch>
          <a:fillRect/>
        </a:stretch>
      </xdr:blipFill>
      <xdr:spPr bwMode="auto">
        <a:xfrm>
          <a:off x="7108166" y="9540815"/>
          <a:ext cx="3545457" cy="3278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25879</xdr:colOff>
      <xdr:row>113</xdr:row>
      <xdr:rowOff>25879</xdr:rowOff>
    </xdr:from>
    <xdr:to>
      <xdr:col>16</xdr:col>
      <xdr:colOff>86264</xdr:colOff>
      <xdr:row>130</xdr:row>
      <xdr:rowOff>60385</xdr:rowOff>
    </xdr:to>
    <xdr:pic>
      <xdr:nvPicPr>
        <xdr:cNvPr id="1058" name="Picture 11" descr="DSCN4538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125419" y="18546792"/>
          <a:ext cx="3786996" cy="28208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232913</xdr:colOff>
      <xdr:row>1</xdr:row>
      <xdr:rowOff>120770</xdr:rowOff>
    </xdr:from>
    <xdr:to>
      <xdr:col>18</xdr:col>
      <xdr:colOff>189781</xdr:colOff>
      <xdr:row>8</xdr:row>
      <xdr:rowOff>103517</xdr:rowOff>
    </xdr:to>
    <xdr:pic>
      <xdr:nvPicPr>
        <xdr:cNvPr id="105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059064" y="284672"/>
          <a:ext cx="1199072" cy="113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1449238</xdr:colOff>
      <xdr:row>136</xdr:row>
      <xdr:rowOff>8626</xdr:rowOff>
    </xdr:from>
    <xdr:to>
      <xdr:col>16</xdr:col>
      <xdr:colOff>129396</xdr:colOff>
      <xdr:row>151</xdr:row>
      <xdr:rowOff>69011</xdr:rowOff>
    </xdr:to>
    <xdr:pic>
      <xdr:nvPicPr>
        <xdr:cNvPr id="1061" name="Picture 29" descr="SNARK 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039155" y="22299283"/>
          <a:ext cx="3916392" cy="2518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9</xdr:col>
      <xdr:colOff>560717</xdr:colOff>
      <xdr:row>50</xdr:row>
      <xdr:rowOff>112143</xdr:rowOff>
    </xdr:to>
    <xdr:sp macro="" textlink="">
      <xdr:nvSpPr>
        <xdr:cNvPr id="1062" name="Object 24" hidden="1"/>
        <xdr:cNvSpPr>
          <a:spLocks noChangeArrowheads="1"/>
        </xdr:cNvSpPr>
      </xdr:nvSpPr>
      <xdr:spPr bwMode="auto">
        <a:xfrm>
          <a:off x="621102" y="327804"/>
          <a:ext cx="5529532" cy="7979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9</xdr:col>
      <xdr:colOff>560717</xdr:colOff>
      <xdr:row>86</xdr:row>
      <xdr:rowOff>43132</xdr:rowOff>
    </xdr:to>
    <xdr:sp macro="" textlink="">
      <xdr:nvSpPr>
        <xdr:cNvPr id="1063" name="Object 26" hidden="1"/>
        <xdr:cNvSpPr>
          <a:spLocks noChangeArrowheads="1"/>
        </xdr:cNvSpPr>
      </xdr:nvSpPr>
      <xdr:spPr bwMode="auto">
        <a:xfrm>
          <a:off x="621102" y="9178506"/>
          <a:ext cx="5529532" cy="4960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9</xdr:col>
      <xdr:colOff>560717</xdr:colOff>
      <xdr:row>130</xdr:row>
      <xdr:rowOff>8626</xdr:rowOff>
    </xdr:to>
    <xdr:sp macro="" textlink="">
      <xdr:nvSpPr>
        <xdr:cNvPr id="1064" name="Object 27" hidden="1"/>
        <xdr:cNvSpPr>
          <a:spLocks noChangeArrowheads="1"/>
        </xdr:cNvSpPr>
      </xdr:nvSpPr>
      <xdr:spPr bwMode="auto">
        <a:xfrm>
          <a:off x="621102" y="14751170"/>
          <a:ext cx="5529532" cy="6564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9</xdr:col>
      <xdr:colOff>560717</xdr:colOff>
      <xdr:row>150</xdr:row>
      <xdr:rowOff>8626</xdr:rowOff>
    </xdr:to>
    <xdr:sp macro="" textlink="">
      <xdr:nvSpPr>
        <xdr:cNvPr id="1065" name="Object 28" hidden="1"/>
        <xdr:cNvSpPr>
          <a:spLocks noChangeArrowheads="1"/>
        </xdr:cNvSpPr>
      </xdr:nvSpPr>
      <xdr:spPr bwMode="auto">
        <a:xfrm>
          <a:off x="621102" y="22290657"/>
          <a:ext cx="5529532" cy="230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9</xdr:col>
      <xdr:colOff>560717</xdr:colOff>
      <xdr:row>50</xdr:row>
      <xdr:rowOff>112143</xdr:rowOff>
    </xdr:to>
    <xdr:sp macro="" textlink="">
      <xdr:nvSpPr>
        <xdr:cNvPr id="1070" name="Object 24" hidden="1"/>
        <xdr:cNvSpPr>
          <a:spLocks noChangeArrowheads="1"/>
        </xdr:cNvSpPr>
      </xdr:nvSpPr>
      <xdr:spPr bwMode="auto">
        <a:xfrm>
          <a:off x="621102" y="327804"/>
          <a:ext cx="5529532" cy="7979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56</xdr:row>
      <xdr:rowOff>0</xdr:rowOff>
    </xdr:from>
    <xdr:to>
      <xdr:col>9</xdr:col>
      <xdr:colOff>560717</xdr:colOff>
      <xdr:row>86</xdr:row>
      <xdr:rowOff>43132</xdr:rowOff>
    </xdr:to>
    <xdr:sp macro="" textlink="">
      <xdr:nvSpPr>
        <xdr:cNvPr id="1071" name="Object 26" hidden="1"/>
        <xdr:cNvSpPr>
          <a:spLocks noChangeArrowheads="1"/>
        </xdr:cNvSpPr>
      </xdr:nvSpPr>
      <xdr:spPr bwMode="auto">
        <a:xfrm>
          <a:off x="621102" y="9178506"/>
          <a:ext cx="5529532" cy="4960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9</xdr:col>
      <xdr:colOff>560717</xdr:colOff>
      <xdr:row>130</xdr:row>
      <xdr:rowOff>8626</xdr:rowOff>
    </xdr:to>
    <xdr:sp macro="" textlink="">
      <xdr:nvSpPr>
        <xdr:cNvPr id="1072" name="Object 27" hidden="1"/>
        <xdr:cNvSpPr>
          <a:spLocks noChangeArrowheads="1"/>
        </xdr:cNvSpPr>
      </xdr:nvSpPr>
      <xdr:spPr bwMode="auto">
        <a:xfrm>
          <a:off x="621102" y="14751170"/>
          <a:ext cx="5529532" cy="65647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9</xdr:col>
      <xdr:colOff>560717</xdr:colOff>
      <xdr:row>150</xdr:row>
      <xdr:rowOff>8626</xdr:rowOff>
    </xdr:to>
    <xdr:sp macro="" textlink="">
      <xdr:nvSpPr>
        <xdr:cNvPr id="1073" name="Object 28" hidden="1"/>
        <xdr:cNvSpPr>
          <a:spLocks noChangeArrowheads="1"/>
        </xdr:cNvSpPr>
      </xdr:nvSpPr>
      <xdr:spPr bwMode="auto">
        <a:xfrm>
          <a:off x="621102" y="22290657"/>
          <a:ext cx="5529532" cy="230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49</xdr:row>
      <xdr:rowOff>123825</xdr:rowOff>
    </xdr:from>
    <xdr:to>
      <xdr:col>9</xdr:col>
      <xdr:colOff>676275</xdr:colOff>
      <xdr:row>90</xdr:row>
      <xdr:rowOff>142875</xdr:rowOff>
    </xdr:to>
    <xdr:pic>
      <xdr:nvPicPr>
        <xdr:cNvPr id="163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66750" y="8058150"/>
          <a:ext cx="5495925" cy="66579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352425</xdr:colOff>
      <xdr:row>94</xdr:row>
      <xdr:rowOff>0</xdr:rowOff>
    </xdr:from>
    <xdr:to>
      <xdr:col>9</xdr:col>
      <xdr:colOff>971550</xdr:colOff>
      <xdr:row>130</xdr:row>
      <xdr:rowOff>123825</xdr:rowOff>
    </xdr:to>
    <xdr:pic>
      <xdr:nvPicPr>
        <xdr:cNvPr id="1638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62025" y="15220950"/>
          <a:ext cx="5495925" cy="59531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57150</xdr:colOff>
      <xdr:row>3</xdr:row>
      <xdr:rowOff>104775</xdr:rowOff>
    </xdr:from>
    <xdr:to>
      <xdr:col>9</xdr:col>
      <xdr:colOff>676275</xdr:colOff>
      <xdr:row>49</xdr:row>
      <xdr:rowOff>114300</xdr:rowOff>
    </xdr:to>
    <xdr:pic>
      <xdr:nvPicPr>
        <xdr:cNvPr id="1638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66750" y="590550"/>
          <a:ext cx="5495925" cy="74580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77638</xdr:colOff>
      <xdr:row>0</xdr:row>
      <xdr:rowOff>129396</xdr:rowOff>
    </xdr:from>
    <xdr:to>
      <xdr:col>14</xdr:col>
      <xdr:colOff>232913</xdr:colOff>
      <xdr:row>8</xdr:row>
      <xdr:rowOff>17253</xdr:rowOff>
    </xdr:to>
    <xdr:pic>
      <xdr:nvPicPr>
        <xdr:cNvPr id="3081" name="Picture 1" descr="Trout Grain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425" r="5310" b="15483"/>
        <a:stretch>
          <a:fillRect/>
        </a:stretch>
      </xdr:blipFill>
      <xdr:spPr bwMode="auto">
        <a:xfrm>
          <a:off x="6909758" y="129396"/>
          <a:ext cx="2018582" cy="1199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138023</xdr:colOff>
      <xdr:row>1</xdr:row>
      <xdr:rowOff>60385</xdr:rowOff>
    </xdr:from>
    <xdr:to>
      <xdr:col>17</xdr:col>
      <xdr:colOff>34506</xdr:colOff>
      <xdr:row>8</xdr:row>
      <xdr:rowOff>103517</xdr:rowOff>
    </xdr:to>
    <xdr:pic>
      <xdr:nvPicPr>
        <xdr:cNvPr id="3082" name="Picture 3" descr="FW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54551" y="224287"/>
          <a:ext cx="1138687" cy="1190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34506</xdr:colOff>
      <xdr:row>1</xdr:row>
      <xdr:rowOff>0</xdr:rowOff>
    </xdr:from>
    <xdr:to>
      <xdr:col>20</xdr:col>
      <xdr:colOff>163902</xdr:colOff>
      <xdr:row>8</xdr:row>
      <xdr:rowOff>129396</xdr:rowOff>
    </xdr:to>
    <xdr:pic>
      <xdr:nvPicPr>
        <xdr:cNvPr id="308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214340" y="163902"/>
          <a:ext cx="1371600" cy="1276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10</xdr:col>
      <xdr:colOff>8626</xdr:colOff>
      <xdr:row>39</xdr:row>
      <xdr:rowOff>17253</xdr:rowOff>
    </xdr:to>
    <xdr:sp macro="" textlink="">
      <xdr:nvSpPr>
        <xdr:cNvPr id="3084" name="Object 6" hidden="1"/>
        <xdr:cNvSpPr>
          <a:spLocks noChangeArrowheads="1"/>
        </xdr:cNvSpPr>
      </xdr:nvSpPr>
      <xdr:spPr bwMode="auto">
        <a:xfrm>
          <a:off x="621102" y="163902"/>
          <a:ext cx="5598543" cy="6245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17253</xdr:colOff>
      <xdr:row>42</xdr:row>
      <xdr:rowOff>138023</xdr:rowOff>
    </xdr:from>
    <xdr:to>
      <xdr:col>10</xdr:col>
      <xdr:colOff>25879</xdr:colOff>
      <xdr:row>89</xdr:row>
      <xdr:rowOff>103517</xdr:rowOff>
    </xdr:to>
    <xdr:sp macro="" textlink="">
      <xdr:nvSpPr>
        <xdr:cNvPr id="3085" name="Object 7" hidden="1"/>
        <xdr:cNvSpPr>
          <a:spLocks noChangeArrowheads="1"/>
        </xdr:cNvSpPr>
      </xdr:nvSpPr>
      <xdr:spPr bwMode="auto">
        <a:xfrm>
          <a:off x="638355" y="7021902"/>
          <a:ext cx="5598543" cy="7668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25879</xdr:colOff>
      <xdr:row>93</xdr:row>
      <xdr:rowOff>25879</xdr:rowOff>
    </xdr:from>
    <xdr:to>
      <xdr:col>10</xdr:col>
      <xdr:colOff>34506</xdr:colOff>
      <xdr:row>143</xdr:row>
      <xdr:rowOff>25879</xdr:rowOff>
    </xdr:to>
    <xdr:sp macro="" textlink="">
      <xdr:nvSpPr>
        <xdr:cNvPr id="3086" name="Object 8" hidden="1"/>
        <xdr:cNvSpPr>
          <a:spLocks noChangeArrowheads="1"/>
        </xdr:cNvSpPr>
      </xdr:nvSpPr>
      <xdr:spPr bwMode="auto">
        <a:xfrm>
          <a:off x="646981" y="15268755"/>
          <a:ext cx="5598544" cy="81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10</xdr:col>
      <xdr:colOff>8626</xdr:colOff>
      <xdr:row>39</xdr:row>
      <xdr:rowOff>17253</xdr:rowOff>
    </xdr:to>
    <xdr:pic>
      <xdr:nvPicPr>
        <xdr:cNvPr id="308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1102" y="163902"/>
          <a:ext cx="5598543" cy="624552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17253</xdr:colOff>
      <xdr:row>42</xdr:row>
      <xdr:rowOff>138023</xdr:rowOff>
    </xdr:from>
    <xdr:to>
      <xdr:col>10</xdr:col>
      <xdr:colOff>25879</xdr:colOff>
      <xdr:row>89</xdr:row>
      <xdr:rowOff>103517</xdr:rowOff>
    </xdr:to>
    <xdr:pic>
      <xdr:nvPicPr>
        <xdr:cNvPr id="308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38355" y="7021902"/>
          <a:ext cx="5598543" cy="766888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25879</xdr:colOff>
      <xdr:row>93</xdr:row>
      <xdr:rowOff>25879</xdr:rowOff>
    </xdr:from>
    <xdr:to>
      <xdr:col>10</xdr:col>
      <xdr:colOff>34506</xdr:colOff>
      <xdr:row>143</xdr:row>
      <xdr:rowOff>25879</xdr:rowOff>
    </xdr:to>
    <xdr:pic>
      <xdr:nvPicPr>
        <xdr:cNvPr id="308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46981" y="15268755"/>
          <a:ext cx="5598544" cy="819509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10</xdr:col>
      <xdr:colOff>8626</xdr:colOff>
      <xdr:row>39</xdr:row>
      <xdr:rowOff>17253</xdr:rowOff>
    </xdr:to>
    <xdr:sp macro="" textlink="">
      <xdr:nvSpPr>
        <xdr:cNvPr id="3090" name="Object 6" hidden="1"/>
        <xdr:cNvSpPr>
          <a:spLocks noChangeArrowheads="1"/>
        </xdr:cNvSpPr>
      </xdr:nvSpPr>
      <xdr:spPr bwMode="auto">
        <a:xfrm>
          <a:off x="621102" y="163902"/>
          <a:ext cx="5598543" cy="6245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17253</xdr:colOff>
      <xdr:row>42</xdr:row>
      <xdr:rowOff>138023</xdr:rowOff>
    </xdr:from>
    <xdr:to>
      <xdr:col>10</xdr:col>
      <xdr:colOff>25879</xdr:colOff>
      <xdr:row>89</xdr:row>
      <xdr:rowOff>103517</xdr:rowOff>
    </xdr:to>
    <xdr:sp macro="" textlink="">
      <xdr:nvSpPr>
        <xdr:cNvPr id="3091" name="Object 7" hidden="1"/>
        <xdr:cNvSpPr>
          <a:spLocks noChangeArrowheads="1"/>
        </xdr:cNvSpPr>
      </xdr:nvSpPr>
      <xdr:spPr bwMode="auto">
        <a:xfrm>
          <a:off x="638355" y="7021902"/>
          <a:ext cx="5598543" cy="7668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25879</xdr:colOff>
      <xdr:row>93</xdr:row>
      <xdr:rowOff>25879</xdr:rowOff>
    </xdr:from>
    <xdr:to>
      <xdr:col>10</xdr:col>
      <xdr:colOff>34506</xdr:colOff>
      <xdr:row>143</xdr:row>
      <xdr:rowOff>25879</xdr:rowOff>
    </xdr:to>
    <xdr:sp macro="" textlink="">
      <xdr:nvSpPr>
        <xdr:cNvPr id="3092" name="Object 8" hidden="1"/>
        <xdr:cNvSpPr>
          <a:spLocks noChangeArrowheads="1"/>
        </xdr:cNvSpPr>
      </xdr:nvSpPr>
      <xdr:spPr bwMode="auto">
        <a:xfrm>
          <a:off x="646981" y="15268755"/>
          <a:ext cx="5598544" cy="8195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198947</xdr:colOff>
      <xdr:row>0</xdr:row>
      <xdr:rowOff>41874</xdr:rowOff>
    </xdr:from>
    <xdr:to>
      <xdr:col>0</xdr:col>
      <xdr:colOff>1751701</xdr:colOff>
      <xdr:row>0</xdr:row>
      <xdr:rowOff>921768</xdr:rowOff>
    </xdr:to>
    <xdr:pic>
      <xdr:nvPicPr>
        <xdr:cNvPr id="10241" name="Picture 1" descr="Trout Grain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425" r="5310" b="15483"/>
        <a:stretch>
          <a:fillRect/>
        </a:stretch>
      </xdr:blipFill>
      <xdr:spPr bwMode="auto">
        <a:xfrm>
          <a:off x="198947" y="41874"/>
          <a:ext cx="1552754" cy="879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2255987</xdr:colOff>
      <xdr:row>0</xdr:row>
      <xdr:rowOff>65956</xdr:rowOff>
    </xdr:from>
    <xdr:to>
      <xdr:col>0</xdr:col>
      <xdr:colOff>3066870</xdr:colOff>
      <xdr:row>0</xdr:row>
      <xdr:rowOff>928598</xdr:rowOff>
    </xdr:to>
    <xdr:pic>
      <xdr:nvPicPr>
        <xdr:cNvPr id="10242" name="Picture 2" descr="FW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55987" y="65956"/>
          <a:ext cx="810883" cy="862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1371600</xdr:colOff>
      <xdr:row>0</xdr:row>
      <xdr:rowOff>962025</xdr:rowOff>
    </xdr:from>
    <xdr:to>
      <xdr:col>0</xdr:col>
      <xdr:colOff>2363191</xdr:colOff>
      <xdr:row>4</xdr:row>
      <xdr:rowOff>88241</xdr:rowOff>
    </xdr:to>
    <xdr:pic>
      <xdr:nvPicPr>
        <xdr:cNvPr id="1024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71600" y="962025"/>
          <a:ext cx="991591" cy="9359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2208362</xdr:colOff>
      <xdr:row>0</xdr:row>
      <xdr:rowOff>189781</xdr:rowOff>
    </xdr:from>
    <xdr:to>
      <xdr:col>14</xdr:col>
      <xdr:colOff>0</xdr:colOff>
      <xdr:row>0</xdr:row>
      <xdr:rowOff>1052423</xdr:rowOff>
    </xdr:to>
    <xdr:pic>
      <xdr:nvPicPr>
        <xdr:cNvPr id="4101" name="Picture 5" descr="FW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342408" y="189781"/>
          <a:ext cx="0" cy="862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8626</xdr:colOff>
      <xdr:row>0</xdr:row>
      <xdr:rowOff>250166</xdr:rowOff>
    </xdr:from>
    <xdr:to>
      <xdr:col>24</xdr:col>
      <xdr:colOff>414068</xdr:colOff>
      <xdr:row>0</xdr:row>
      <xdr:rowOff>1130060</xdr:rowOff>
    </xdr:to>
    <xdr:pic>
      <xdr:nvPicPr>
        <xdr:cNvPr id="4102" name="Picture 7" descr="Trout Grains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425" r="5310" b="15483"/>
        <a:stretch>
          <a:fillRect/>
        </a:stretch>
      </xdr:blipFill>
      <xdr:spPr bwMode="auto">
        <a:xfrm>
          <a:off x="12525555" y="250166"/>
          <a:ext cx="1587260" cy="879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181155</xdr:colOff>
      <xdr:row>0</xdr:row>
      <xdr:rowOff>301925</xdr:rowOff>
    </xdr:from>
    <xdr:to>
      <xdr:col>26</xdr:col>
      <xdr:colOff>448574</xdr:colOff>
      <xdr:row>0</xdr:row>
      <xdr:rowOff>1164566</xdr:rowOff>
    </xdr:to>
    <xdr:pic>
      <xdr:nvPicPr>
        <xdr:cNvPr id="4103" name="Picture 8" descr="FW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4483751" y="301925"/>
          <a:ext cx="828136" cy="862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103517</xdr:colOff>
      <xdr:row>0</xdr:row>
      <xdr:rowOff>163902</xdr:rowOff>
    </xdr:from>
    <xdr:to>
      <xdr:col>28</xdr:col>
      <xdr:colOff>560717</xdr:colOff>
      <xdr:row>0</xdr:row>
      <xdr:rowOff>1181819</xdr:rowOff>
    </xdr:to>
    <xdr:pic>
      <xdr:nvPicPr>
        <xdr:cNvPr id="4104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587932" y="163902"/>
          <a:ext cx="1095555" cy="1017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193</xdr:row>
      <xdr:rowOff>0</xdr:rowOff>
    </xdr:from>
    <xdr:to>
      <xdr:col>5</xdr:col>
      <xdr:colOff>34506</xdr:colOff>
      <xdr:row>207</xdr:row>
      <xdr:rowOff>8626</xdr:rowOff>
    </xdr:to>
    <xdr:sp macro="" textlink="">
      <xdr:nvSpPr>
        <xdr:cNvPr id="4105" name="Object 3" hidden="1"/>
        <xdr:cNvSpPr>
          <a:spLocks noChangeArrowheads="1"/>
        </xdr:cNvSpPr>
      </xdr:nvSpPr>
      <xdr:spPr bwMode="auto">
        <a:xfrm>
          <a:off x="0" y="31745208"/>
          <a:ext cx="5693434" cy="230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517585</xdr:colOff>
      <xdr:row>0</xdr:row>
      <xdr:rowOff>276045</xdr:rowOff>
    </xdr:from>
    <xdr:to>
      <xdr:col>0</xdr:col>
      <xdr:colOff>2294626</xdr:colOff>
      <xdr:row>0</xdr:row>
      <xdr:rowOff>1164566</xdr:rowOff>
    </xdr:to>
    <xdr:sp macro="" textlink="">
      <xdr:nvSpPr>
        <xdr:cNvPr id="4106" name="Object 9" hidden="1"/>
        <xdr:cNvSpPr>
          <a:spLocks noChangeArrowheads="1"/>
        </xdr:cNvSpPr>
      </xdr:nvSpPr>
      <xdr:spPr bwMode="auto">
        <a:xfrm>
          <a:off x="517585" y="276045"/>
          <a:ext cx="1777041" cy="888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193</xdr:row>
      <xdr:rowOff>0</xdr:rowOff>
    </xdr:from>
    <xdr:to>
      <xdr:col>5</xdr:col>
      <xdr:colOff>34506</xdr:colOff>
      <xdr:row>207</xdr:row>
      <xdr:rowOff>8626</xdr:rowOff>
    </xdr:to>
    <xdr:sp macro="" textlink="">
      <xdr:nvSpPr>
        <xdr:cNvPr id="4109" name="Object 3" hidden="1"/>
        <xdr:cNvSpPr>
          <a:spLocks noChangeArrowheads="1"/>
        </xdr:cNvSpPr>
      </xdr:nvSpPr>
      <xdr:spPr bwMode="auto">
        <a:xfrm>
          <a:off x="0" y="31745208"/>
          <a:ext cx="5693434" cy="230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517585</xdr:colOff>
      <xdr:row>0</xdr:row>
      <xdr:rowOff>276045</xdr:rowOff>
    </xdr:from>
    <xdr:to>
      <xdr:col>0</xdr:col>
      <xdr:colOff>2294626</xdr:colOff>
      <xdr:row>0</xdr:row>
      <xdr:rowOff>1164566</xdr:rowOff>
    </xdr:to>
    <xdr:sp macro="" textlink="">
      <xdr:nvSpPr>
        <xdr:cNvPr id="4110" name="Object 4" hidden="1"/>
        <xdr:cNvSpPr>
          <a:spLocks noChangeArrowheads="1"/>
        </xdr:cNvSpPr>
      </xdr:nvSpPr>
      <xdr:spPr bwMode="auto">
        <a:xfrm>
          <a:off x="517585" y="276045"/>
          <a:ext cx="1777041" cy="888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361950</xdr:colOff>
      <xdr:row>0</xdr:row>
      <xdr:rowOff>178401</xdr:rowOff>
    </xdr:from>
    <xdr:to>
      <xdr:col>0</xdr:col>
      <xdr:colOff>2819400</xdr:colOff>
      <xdr:row>0</xdr:row>
      <xdr:rowOff>1194081</xdr:rowOff>
    </xdr:to>
    <xdr:pic>
      <xdr:nvPicPr>
        <xdr:cNvPr id="13" name="Picture 12" descr="DSCN1153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t="35677" r="3125" b="10938"/>
        <a:stretch>
          <a:fillRect/>
        </a:stretch>
      </xdr:blipFill>
      <xdr:spPr>
        <a:xfrm>
          <a:off x="361950" y="178401"/>
          <a:ext cx="2457450" cy="10156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196</xdr:row>
      <xdr:rowOff>0</xdr:rowOff>
    </xdr:from>
    <xdr:to>
      <xdr:col>5</xdr:col>
      <xdr:colOff>38100</xdr:colOff>
      <xdr:row>204</xdr:row>
      <xdr:rowOff>104775</xdr:rowOff>
    </xdr:to>
    <xdr:pic>
      <xdr:nvPicPr>
        <xdr:cNvPr id="174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34413825"/>
          <a:ext cx="5495925" cy="140017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55</xdr:row>
      <xdr:rowOff>0</xdr:rowOff>
    </xdr:from>
    <xdr:to>
      <xdr:col>0</xdr:col>
      <xdr:colOff>3157268</xdr:colOff>
      <xdr:row>66</xdr:row>
      <xdr:rowOff>129396</xdr:rowOff>
    </xdr:to>
    <xdr:sp macro="" textlink="">
      <xdr:nvSpPr>
        <xdr:cNvPr id="13315" name="Object 4" hidden="1"/>
        <xdr:cNvSpPr>
          <a:spLocks noChangeArrowheads="1"/>
        </xdr:cNvSpPr>
      </xdr:nvSpPr>
      <xdr:spPr bwMode="auto">
        <a:xfrm>
          <a:off x="0" y="10688128"/>
          <a:ext cx="3157268" cy="1932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3157268</xdr:colOff>
      <xdr:row>66</xdr:row>
      <xdr:rowOff>129396</xdr:rowOff>
    </xdr:to>
    <xdr:sp macro="" textlink="">
      <xdr:nvSpPr>
        <xdr:cNvPr id="13316" name="Object 4" hidden="1"/>
        <xdr:cNvSpPr>
          <a:spLocks noChangeArrowheads="1"/>
        </xdr:cNvSpPr>
      </xdr:nvSpPr>
      <xdr:spPr bwMode="auto">
        <a:xfrm>
          <a:off x="0" y="10688128"/>
          <a:ext cx="3157268" cy="1932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103517</xdr:colOff>
      <xdr:row>0</xdr:row>
      <xdr:rowOff>163902</xdr:rowOff>
    </xdr:from>
    <xdr:to>
      <xdr:col>22</xdr:col>
      <xdr:colOff>414068</xdr:colOff>
      <xdr:row>0</xdr:row>
      <xdr:rowOff>1017917</xdr:rowOff>
    </xdr:to>
    <xdr:pic>
      <xdr:nvPicPr>
        <xdr:cNvPr id="13317" name="Picture 1" descr="Trout Grain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425" r="5310" b="15483"/>
        <a:stretch>
          <a:fillRect/>
        </a:stretch>
      </xdr:blipFill>
      <xdr:spPr bwMode="auto">
        <a:xfrm>
          <a:off x="15829472" y="163902"/>
          <a:ext cx="1552754" cy="854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353683</xdr:colOff>
      <xdr:row>0</xdr:row>
      <xdr:rowOff>276045</xdr:rowOff>
    </xdr:from>
    <xdr:to>
      <xdr:col>19</xdr:col>
      <xdr:colOff>405442</xdr:colOff>
      <xdr:row>0</xdr:row>
      <xdr:rowOff>1009291</xdr:rowOff>
    </xdr:to>
    <xdr:pic>
      <xdr:nvPicPr>
        <xdr:cNvPr id="13318" name="Picture 2" descr="FW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4837434" y="276045"/>
          <a:ext cx="672860" cy="7332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379562</xdr:colOff>
      <xdr:row>0</xdr:row>
      <xdr:rowOff>267419</xdr:rowOff>
    </xdr:from>
    <xdr:to>
      <xdr:col>17</xdr:col>
      <xdr:colOff>276045</xdr:colOff>
      <xdr:row>0</xdr:row>
      <xdr:rowOff>1069675</xdr:rowOff>
    </xdr:to>
    <xdr:pic>
      <xdr:nvPicPr>
        <xdr:cNvPr id="1331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000008" y="267419"/>
          <a:ext cx="1138686" cy="802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3157268</xdr:colOff>
      <xdr:row>66</xdr:row>
      <xdr:rowOff>129396</xdr:rowOff>
    </xdr:to>
    <xdr:sp macro="" textlink="">
      <xdr:nvSpPr>
        <xdr:cNvPr id="13320" name="Object 4" hidden="1"/>
        <xdr:cNvSpPr>
          <a:spLocks noChangeArrowheads="1"/>
        </xdr:cNvSpPr>
      </xdr:nvSpPr>
      <xdr:spPr bwMode="auto">
        <a:xfrm>
          <a:off x="0" y="10688128"/>
          <a:ext cx="3157268" cy="1932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3157268</xdr:colOff>
      <xdr:row>66</xdr:row>
      <xdr:rowOff>129396</xdr:rowOff>
    </xdr:to>
    <xdr:sp macro="" textlink="">
      <xdr:nvSpPr>
        <xdr:cNvPr id="13321" name="Object 4" hidden="1"/>
        <xdr:cNvSpPr>
          <a:spLocks noChangeArrowheads="1"/>
        </xdr:cNvSpPr>
      </xdr:nvSpPr>
      <xdr:spPr bwMode="auto">
        <a:xfrm>
          <a:off x="0" y="10688128"/>
          <a:ext cx="3157268" cy="1932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3157268</xdr:colOff>
      <xdr:row>66</xdr:row>
      <xdr:rowOff>129396</xdr:rowOff>
    </xdr:to>
    <xdr:sp macro="" textlink="">
      <xdr:nvSpPr>
        <xdr:cNvPr id="13322" name="Object 4" hidden="1"/>
        <xdr:cNvSpPr>
          <a:spLocks noChangeArrowheads="1"/>
        </xdr:cNvSpPr>
      </xdr:nvSpPr>
      <xdr:spPr bwMode="auto">
        <a:xfrm>
          <a:off x="0" y="10688128"/>
          <a:ext cx="3157268" cy="1932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948906</xdr:colOff>
      <xdr:row>0</xdr:row>
      <xdr:rowOff>172528</xdr:rowOff>
    </xdr:from>
    <xdr:to>
      <xdr:col>0</xdr:col>
      <xdr:colOff>2639683</xdr:colOff>
      <xdr:row>0</xdr:row>
      <xdr:rowOff>1104181</xdr:rowOff>
    </xdr:to>
    <xdr:pic>
      <xdr:nvPicPr>
        <xdr:cNvPr id="13323" name="Picture 9" descr="HSB on ice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bright="10000"/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8906" y="172528"/>
          <a:ext cx="1690777" cy="931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3</xdr:col>
      <xdr:colOff>439947</xdr:colOff>
      <xdr:row>72</xdr:row>
      <xdr:rowOff>8626</xdr:rowOff>
    </xdr:to>
    <xdr:sp macro="" textlink="">
      <xdr:nvSpPr>
        <xdr:cNvPr id="13324" name="Object 2" hidden="1"/>
        <xdr:cNvSpPr>
          <a:spLocks noChangeArrowheads="1"/>
        </xdr:cNvSpPr>
      </xdr:nvSpPr>
      <xdr:spPr bwMode="auto">
        <a:xfrm>
          <a:off x="0" y="11179834"/>
          <a:ext cx="5607170" cy="2303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3</xdr:col>
      <xdr:colOff>439947</xdr:colOff>
      <xdr:row>72</xdr:row>
      <xdr:rowOff>8626</xdr:rowOff>
    </xdr:to>
    <xdr:sp macro="" textlink="">
      <xdr:nvSpPr>
        <xdr:cNvPr id="13326" name="Object 2" hidden="1"/>
        <xdr:cNvSpPr>
          <a:spLocks noChangeArrowheads="1"/>
        </xdr:cNvSpPr>
      </xdr:nvSpPr>
      <xdr:spPr bwMode="auto">
        <a:xfrm>
          <a:off x="0" y="11179834"/>
          <a:ext cx="5607170" cy="2303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2329132</xdr:colOff>
      <xdr:row>0</xdr:row>
      <xdr:rowOff>155275</xdr:rowOff>
    </xdr:from>
    <xdr:to>
      <xdr:col>0</xdr:col>
      <xdr:colOff>2337758</xdr:colOff>
      <xdr:row>0</xdr:row>
      <xdr:rowOff>163902</xdr:rowOff>
    </xdr:to>
    <xdr:pic>
      <xdr:nvPicPr>
        <xdr:cNvPr id="14338" name="Picture 2" descr="FW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29132" y="155275"/>
          <a:ext cx="8626" cy="8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163902</xdr:colOff>
      <xdr:row>0</xdr:row>
      <xdr:rowOff>276045</xdr:rowOff>
    </xdr:from>
    <xdr:to>
      <xdr:col>0</xdr:col>
      <xdr:colOff>1475117</xdr:colOff>
      <xdr:row>0</xdr:row>
      <xdr:rowOff>1026543</xdr:rowOff>
    </xdr:to>
    <xdr:pic>
      <xdr:nvPicPr>
        <xdr:cNvPr id="14339" name="Picture 3" descr="Trout Grains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425" r="5310" b="15483"/>
        <a:stretch>
          <a:fillRect/>
        </a:stretch>
      </xdr:blipFill>
      <xdr:spPr bwMode="auto">
        <a:xfrm>
          <a:off x="163902" y="276045"/>
          <a:ext cx="1311215" cy="75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1647645</xdr:colOff>
      <xdr:row>0</xdr:row>
      <xdr:rowOff>336430</xdr:rowOff>
    </xdr:from>
    <xdr:to>
      <xdr:col>0</xdr:col>
      <xdr:colOff>2286000</xdr:colOff>
      <xdr:row>0</xdr:row>
      <xdr:rowOff>1009291</xdr:rowOff>
    </xdr:to>
    <xdr:pic>
      <xdr:nvPicPr>
        <xdr:cNvPr id="14340" name="Picture 4" descr="FWS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647645" y="336430"/>
          <a:ext cx="638355" cy="672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2656936</xdr:colOff>
      <xdr:row>0</xdr:row>
      <xdr:rowOff>345057</xdr:rowOff>
    </xdr:from>
    <xdr:to>
      <xdr:col>0</xdr:col>
      <xdr:colOff>3416060</xdr:colOff>
      <xdr:row>0</xdr:row>
      <xdr:rowOff>1061049</xdr:rowOff>
    </xdr:to>
    <xdr:pic>
      <xdr:nvPicPr>
        <xdr:cNvPr id="1434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56936" y="345057"/>
          <a:ext cx="759124" cy="715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146649</xdr:colOff>
      <xdr:row>0</xdr:row>
      <xdr:rowOff>129396</xdr:rowOff>
    </xdr:from>
    <xdr:to>
      <xdr:col>6</xdr:col>
      <xdr:colOff>284672</xdr:colOff>
      <xdr:row>0</xdr:row>
      <xdr:rowOff>1026543</xdr:rowOff>
    </xdr:to>
    <xdr:sp macro="" textlink="">
      <xdr:nvSpPr>
        <xdr:cNvPr id="14342" name="Object 9" hidden="1"/>
        <xdr:cNvSpPr>
          <a:spLocks noChangeArrowheads="1"/>
        </xdr:cNvSpPr>
      </xdr:nvSpPr>
      <xdr:spPr bwMode="auto">
        <a:xfrm>
          <a:off x="5063706" y="129396"/>
          <a:ext cx="2001328" cy="897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146649</xdr:colOff>
      <xdr:row>0</xdr:row>
      <xdr:rowOff>129396</xdr:rowOff>
    </xdr:from>
    <xdr:to>
      <xdr:col>6</xdr:col>
      <xdr:colOff>284672</xdr:colOff>
      <xdr:row>0</xdr:row>
      <xdr:rowOff>1026543</xdr:rowOff>
    </xdr:to>
    <xdr:sp macro="" textlink="">
      <xdr:nvSpPr>
        <xdr:cNvPr id="14344" name="Object 1" hidden="1"/>
        <xdr:cNvSpPr>
          <a:spLocks noChangeArrowheads="1"/>
        </xdr:cNvSpPr>
      </xdr:nvSpPr>
      <xdr:spPr bwMode="auto">
        <a:xfrm>
          <a:off x="5063706" y="129396"/>
          <a:ext cx="2001328" cy="897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0</xdr:row>
      <xdr:rowOff>162270</xdr:rowOff>
    </xdr:from>
    <xdr:to>
      <xdr:col>6</xdr:col>
      <xdr:colOff>476250</xdr:colOff>
      <xdr:row>0</xdr:row>
      <xdr:rowOff>1146456</xdr:rowOff>
    </xdr:to>
    <xdr:pic>
      <xdr:nvPicPr>
        <xdr:cNvPr id="10" name="Picture 9" descr="DSCN1153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t="35677" r="3125" b="10938"/>
        <a:stretch>
          <a:fillRect/>
        </a:stretch>
      </xdr:blipFill>
      <xdr:spPr>
        <a:xfrm>
          <a:off x="4695825" y="162270"/>
          <a:ext cx="2381250" cy="98418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2329132</xdr:colOff>
      <xdr:row>0</xdr:row>
      <xdr:rowOff>155275</xdr:rowOff>
    </xdr:from>
    <xdr:to>
      <xdr:col>0</xdr:col>
      <xdr:colOff>2337758</xdr:colOff>
      <xdr:row>0</xdr:row>
      <xdr:rowOff>163902</xdr:rowOff>
    </xdr:to>
    <xdr:pic>
      <xdr:nvPicPr>
        <xdr:cNvPr id="15361" name="Picture 1" descr="FW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29132" y="155275"/>
          <a:ext cx="8626" cy="8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163902</xdr:colOff>
      <xdr:row>0</xdr:row>
      <xdr:rowOff>276045</xdr:rowOff>
    </xdr:from>
    <xdr:to>
      <xdr:col>0</xdr:col>
      <xdr:colOff>612475</xdr:colOff>
      <xdr:row>0</xdr:row>
      <xdr:rowOff>276045</xdr:rowOff>
    </xdr:to>
    <xdr:pic>
      <xdr:nvPicPr>
        <xdr:cNvPr id="15362" name="Picture 2" descr="Trout Grains 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425" r="5310" b="15483"/>
        <a:stretch>
          <a:fillRect/>
        </a:stretch>
      </xdr:blipFill>
      <xdr:spPr bwMode="auto">
        <a:xfrm>
          <a:off x="163902" y="276045"/>
          <a:ext cx="44857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1647645</xdr:colOff>
      <xdr:row>0</xdr:row>
      <xdr:rowOff>336430</xdr:rowOff>
    </xdr:from>
    <xdr:to>
      <xdr:col>0</xdr:col>
      <xdr:colOff>1647645</xdr:colOff>
      <xdr:row>0</xdr:row>
      <xdr:rowOff>336430</xdr:rowOff>
    </xdr:to>
    <xdr:pic>
      <xdr:nvPicPr>
        <xdr:cNvPr id="15363" name="Picture 3" descr="FWS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647645" y="33643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2656936</xdr:colOff>
      <xdr:row>0</xdr:row>
      <xdr:rowOff>345057</xdr:rowOff>
    </xdr:from>
    <xdr:to>
      <xdr:col>0</xdr:col>
      <xdr:colOff>2656936</xdr:colOff>
      <xdr:row>0</xdr:row>
      <xdr:rowOff>345057</xdr:rowOff>
    </xdr:to>
    <xdr:pic>
      <xdr:nvPicPr>
        <xdr:cNvPr id="1536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56936" y="345057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1423358</xdr:colOff>
      <xdr:row>0</xdr:row>
      <xdr:rowOff>215660</xdr:rowOff>
    </xdr:from>
    <xdr:to>
      <xdr:col>0</xdr:col>
      <xdr:colOff>2734574</xdr:colOff>
      <xdr:row>0</xdr:row>
      <xdr:rowOff>966158</xdr:rowOff>
    </xdr:to>
    <xdr:pic>
      <xdr:nvPicPr>
        <xdr:cNvPr id="15365" name="Picture 5" descr="Trout Grains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425" r="5310" b="15483"/>
        <a:stretch>
          <a:fillRect/>
        </a:stretch>
      </xdr:blipFill>
      <xdr:spPr bwMode="auto">
        <a:xfrm>
          <a:off x="1423358" y="215660"/>
          <a:ext cx="1311216" cy="750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2855343</xdr:colOff>
      <xdr:row>0</xdr:row>
      <xdr:rowOff>276045</xdr:rowOff>
    </xdr:from>
    <xdr:to>
      <xdr:col>0</xdr:col>
      <xdr:colOff>3493698</xdr:colOff>
      <xdr:row>0</xdr:row>
      <xdr:rowOff>948906</xdr:rowOff>
    </xdr:to>
    <xdr:pic>
      <xdr:nvPicPr>
        <xdr:cNvPr id="15366" name="Picture 6" descr="FWS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55343" y="276045"/>
          <a:ext cx="638355" cy="672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336430</xdr:colOff>
      <xdr:row>0</xdr:row>
      <xdr:rowOff>172528</xdr:rowOff>
    </xdr:from>
    <xdr:to>
      <xdr:col>0</xdr:col>
      <xdr:colOff>1207698</xdr:colOff>
      <xdr:row>0</xdr:row>
      <xdr:rowOff>1000664</xdr:rowOff>
    </xdr:to>
    <xdr:pic>
      <xdr:nvPicPr>
        <xdr:cNvPr id="1536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6430" y="172528"/>
          <a:ext cx="871268" cy="828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0</xdr:row>
      <xdr:rowOff>163902</xdr:rowOff>
    </xdr:from>
    <xdr:to>
      <xdr:col>6</xdr:col>
      <xdr:colOff>517585</xdr:colOff>
      <xdr:row>0</xdr:row>
      <xdr:rowOff>1121434</xdr:rowOff>
    </xdr:to>
    <xdr:pic>
      <xdr:nvPicPr>
        <xdr:cNvPr id="15368" name="Picture 9" descr="HSB on ice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10000"/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71072" y="163902"/>
          <a:ext cx="1759788" cy="9575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259153</xdr:colOff>
      <xdr:row>5</xdr:row>
      <xdr:rowOff>116380</xdr:rowOff>
    </xdr:from>
    <xdr:to>
      <xdr:col>19</xdr:col>
      <xdr:colOff>438150</xdr:colOff>
      <xdr:row>14</xdr:row>
      <xdr:rowOff>159651</xdr:rowOff>
    </xdr:to>
    <xdr:pic>
      <xdr:nvPicPr>
        <xdr:cNvPr id="5128" name="Picture 1" descr="FW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622353" y="926005"/>
          <a:ext cx="1398197" cy="15005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360332</xdr:colOff>
      <xdr:row>17</xdr:row>
      <xdr:rowOff>78017</xdr:rowOff>
    </xdr:from>
    <xdr:to>
      <xdr:col>15</xdr:col>
      <xdr:colOff>400050</xdr:colOff>
      <xdr:row>26</xdr:row>
      <xdr:rowOff>38036</xdr:rowOff>
    </xdr:to>
    <xdr:pic>
      <xdr:nvPicPr>
        <xdr:cNvPr id="5129" name="Picture 2" descr="Trout Grains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425" r="5310" b="15483"/>
        <a:stretch>
          <a:fillRect/>
        </a:stretch>
      </xdr:blipFill>
      <xdr:spPr bwMode="auto">
        <a:xfrm>
          <a:off x="7065932" y="2830742"/>
          <a:ext cx="2478118" cy="1417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388189</xdr:colOff>
      <xdr:row>6</xdr:row>
      <xdr:rowOff>98765</xdr:rowOff>
    </xdr:from>
    <xdr:to>
      <xdr:col>15</xdr:col>
      <xdr:colOff>504825</xdr:colOff>
      <xdr:row>12</xdr:row>
      <xdr:rowOff>28574</xdr:rowOff>
    </xdr:to>
    <xdr:pic>
      <xdr:nvPicPr>
        <xdr:cNvPr id="5130" name="Picture 3" descr="headerl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093789" y="1070315"/>
          <a:ext cx="2555036" cy="901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590549</xdr:colOff>
      <xdr:row>29</xdr:row>
      <xdr:rowOff>97476</xdr:rowOff>
    </xdr:from>
    <xdr:to>
      <xdr:col>15</xdr:col>
      <xdr:colOff>85724</xdr:colOff>
      <xdr:row>40</xdr:row>
      <xdr:rowOff>147008</xdr:rowOff>
    </xdr:to>
    <xdr:pic>
      <xdr:nvPicPr>
        <xdr:cNvPr id="513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296149" y="4793301"/>
          <a:ext cx="1933575" cy="183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10</xdr:col>
      <xdr:colOff>8626</xdr:colOff>
      <xdr:row>33</xdr:row>
      <xdr:rowOff>43132</xdr:rowOff>
    </xdr:to>
    <xdr:sp macro="" textlink="">
      <xdr:nvSpPr>
        <xdr:cNvPr id="5132" name="Object 7" hidden="1"/>
        <xdr:cNvSpPr>
          <a:spLocks noChangeArrowheads="1"/>
        </xdr:cNvSpPr>
      </xdr:nvSpPr>
      <xdr:spPr bwMode="auto">
        <a:xfrm>
          <a:off x="621102" y="491706"/>
          <a:ext cx="5598543" cy="4960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10</xdr:col>
      <xdr:colOff>8626</xdr:colOff>
      <xdr:row>33</xdr:row>
      <xdr:rowOff>43132</xdr:rowOff>
    </xdr:to>
    <xdr:sp macro="" textlink="">
      <xdr:nvSpPr>
        <xdr:cNvPr id="5134" name="Object 7" hidden="1"/>
        <xdr:cNvSpPr>
          <a:spLocks noChangeArrowheads="1"/>
        </xdr:cNvSpPr>
      </xdr:nvSpPr>
      <xdr:spPr bwMode="auto">
        <a:xfrm>
          <a:off x="621102" y="491706"/>
          <a:ext cx="5598543" cy="4960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5</xdr:row>
      <xdr:rowOff>28575</xdr:rowOff>
    </xdr:from>
    <xdr:to>
      <xdr:col>10</xdr:col>
      <xdr:colOff>47625</xdr:colOff>
      <xdr:row>44</xdr:row>
      <xdr:rowOff>104775</xdr:rowOff>
    </xdr:to>
    <xdr:pic>
      <xdr:nvPicPr>
        <xdr:cNvPr id="1536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47700" y="838200"/>
          <a:ext cx="5495925" cy="639127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k/AppData/Local/Microsoft/Windows/Temporary%20Internet%20Files/Content.Outlook/LVR280B4/Copy%20of%20Digestibility%20Database%20release%20%20V4%20draft%20TGG%20edit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ject Description"/>
      <sheetName val="Procedures"/>
      <sheetName val="Reference diet formulas"/>
      <sheetName val="Nutrient Composition, Trout"/>
      <sheetName val="ADC's, Trout"/>
      <sheetName val="Total &amp; Dig Nutrients"/>
      <sheetName val="Anti-nutrients"/>
      <sheetName val="Acknowledgement"/>
      <sheetName val="Conta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8">
          <cell r="X8">
            <v>79</v>
          </cell>
        </row>
        <row r="9">
          <cell r="X9">
            <v>67</v>
          </cell>
        </row>
        <row r="10">
          <cell r="X10">
            <v>46</v>
          </cell>
        </row>
        <row r="11">
          <cell r="X11">
            <v>51</v>
          </cell>
        </row>
        <row r="12">
          <cell r="X12">
            <v>56</v>
          </cell>
        </row>
        <row r="15">
          <cell r="X15">
            <v>64</v>
          </cell>
        </row>
        <row r="37">
          <cell r="AB37">
            <v>41</v>
          </cell>
          <cell r="AC37">
            <v>8</v>
          </cell>
          <cell r="AD37">
            <v>40</v>
          </cell>
        </row>
        <row r="38">
          <cell r="AB38">
            <v>47</v>
          </cell>
          <cell r="AC38">
            <v>27</v>
          </cell>
          <cell r="AD38">
            <v>46</v>
          </cell>
        </row>
        <row r="39">
          <cell r="AB39">
            <v>49</v>
          </cell>
          <cell r="AC39">
            <v>28</v>
          </cell>
          <cell r="AD39">
            <v>47</v>
          </cell>
        </row>
        <row r="40">
          <cell r="AB40">
            <v>53</v>
          </cell>
          <cell r="AC40">
            <v>16</v>
          </cell>
          <cell r="AD40">
            <v>55</v>
          </cell>
        </row>
        <row r="41">
          <cell r="AB41">
            <v>54</v>
          </cell>
          <cell r="AC41">
            <v>0</v>
          </cell>
          <cell r="AD41">
            <v>53</v>
          </cell>
        </row>
        <row r="42">
          <cell r="AB42">
            <v>77</v>
          </cell>
          <cell r="AC42">
            <v>0</v>
          </cell>
          <cell r="AD42">
            <v>81</v>
          </cell>
        </row>
        <row r="43">
          <cell r="AB43">
            <v>51</v>
          </cell>
          <cell r="AC43">
            <v>0</v>
          </cell>
          <cell r="AD43">
            <v>61</v>
          </cell>
        </row>
        <row r="44">
          <cell r="AB44">
            <v>66</v>
          </cell>
          <cell r="AC44">
            <v>0</v>
          </cell>
          <cell r="AD44">
            <v>68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package" Target="../embeddings/Microsoft_Office_Word_Document1.docx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1"/>
  <sheetViews>
    <sheetView showGridLines="0" workbookViewId="0">
      <selection activeCell="R87" sqref="R87"/>
    </sheetView>
  </sheetViews>
  <sheetFormatPr defaultRowHeight="12.75"/>
  <sheetData>
    <row r="1" spans="1:1">
      <c r="A1" s="49"/>
    </row>
    <row r="18" spans="12:12">
      <c r="L18" s="252"/>
    </row>
    <row r="33" spans="12:12" ht="15">
      <c r="L33" s="124" t="s">
        <v>257</v>
      </c>
    </row>
    <row r="51" spans="12:12" ht="15">
      <c r="L51" s="124" t="s">
        <v>258</v>
      </c>
    </row>
  </sheetData>
  <phoneticPr fontId="20" type="noConversion"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>
      <selection activeCell="H74" sqref="H74"/>
    </sheetView>
  </sheetViews>
  <sheetFormatPr defaultRowHeight="12.75"/>
  <sheetData/>
  <phoneticPr fontId="20" type="noConversion"/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showGridLines="0" tabSelected="1" zoomScaleNormal="100" workbookViewId="0">
      <selection activeCell="I67" sqref="I67"/>
    </sheetView>
  </sheetViews>
  <sheetFormatPr defaultRowHeight="12.75"/>
  <sheetData/>
  <phoneticPr fontId="20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K21:K135"/>
  <sheetViews>
    <sheetView showGridLines="0" workbookViewId="0">
      <selection activeCell="F180" sqref="F180"/>
    </sheetView>
  </sheetViews>
  <sheetFormatPr defaultRowHeight="12.75"/>
  <cols>
    <col min="10" max="10" width="21.85546875" customWidth="1"/>
  </cols>
  <sheetData>
    <row r="21" spans="11:11">
      <c r="K21" s="252" t="s">
        <v>259</v>
      </c>
    </row>
    <row r="57" spans="11:11">
      <c r="K57" s="252" t="s">
        <v>260</v>
      </c>
    </row>
    <row r="91" spans="11:11">
      <c r="K91" s="252" t="s">
        <v>261</v>
      </c>
    </row>
    <row r="112" spans="11:11">
      <c r="K112" s="252" t="s">
        <v>262</v>
      </c>
    </row>
    <row r="135" spans="11:11">
      <c r="K135" s="252" t="s">
        <v>263</v>
      </c>
    </row>
  </sheetData>
  <phoneticPr fontId="20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>
      <selection activeCell="G166" sqref="G166"/>
    </sheetView>
  </sheetViews>
  <sheetFormatPr defaultRowHeight="12.75"/>
  <sheetData/>
  <phoneticPr fontId="20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FY167"/>
  <sheetViews>
    <sheetView zoomScaleNormal="100" workbookViewId="0">
      <pane xSplit="1" topLeftCell="B1" activePane="topRight" state="frozen"/>
      <selection pane="topRight" activeCell="M195" sqref="M195"/>
    </sheetView>
  </sheetViews>
  <sheetFormatPr defaultRowHeight="12.75"/>
  <cols>
    <col min="1" max="1" width="49.85546875" customWidth="1"/>
    <col min="9" max="9" width="9.140625" style="21" customWidth="1"/>
    <col min="25" max="25" width="11" customWidth="1"/>
    <col min="26" max="26" width="10.5703125" bestFit="1" customWidth="1"/>
    <col min="29" max="29" width="10.7109375" customWidth="1"/>
    <col min="31" max="31" width="9.5703125" bestFit="1" customWidth="1"/>
    <col min="36" max="36" width="9.5703125" bestFit="1" customWidth="1"/>
    <col min="37" max="37" width="11" style="19" customWidth="1"/>
    <col min="38" max="38" width="14.5703125" style="19" customWidth="1"/>
    <col min="39" max="125" width="9.140625" style="19" customWidth="1"/>
  </cols>
  <sheetData>
    <row r="1" spans="1:125" ht="94.7" customHeight="1">
      <c r="F1" t="s">
        <v>209</v>
      </c>
      <c r="H1" s="136" t="s">
        <v>210</v>
      </c>
      <c r="S1" s="252" t="s">
        <v>275</v>
      </c>
      <c r="Z1" s="49" t="s">
        <v>211</v>
      </c>
    </row>
    <row r="2" spans="1:125" ht="16.5" customHeight="1">
      <c r="H2" s="136"/>
      <c r="Z2" s="49"/>
    </row>
    <row r="4" spans="1:125" ht="18.75">
      <c r="B4" s="225"/>
      <c r="C4" s="105" t="s">
        <v>173</v>
      </c>
      <c r="D4" s="91"/>
      <c r="E4" s="91"/>
      <c r="F4" s="259"/>
      <c r="G4" s="260"/>
      <c r="H4" s="260"/>
      <c r="I4" s="261"/>
      <c r="J4" s="260"/>
      <c r="K4" s="260"/>
      <c r="L4" s="260"/>
      <c r="M4" s="262" t="s">
        <v>172</v>
      </c>
      <c r="N4" s="260"/>
      <c r="O4" s="260"/>
      <c r="P4" s="260"/>
      <c r="Q4" s="260"/>
      <c r="R4" s="260"/>
      <c r="S4" s="260"/>
      <c r="T4" s="260"/>
      <c r="U4" s="260"/>
      <c r="V4" s="263"/>
      <c r="W4" s="95"/>
      <c r="X4" s="95"/>
      <c r="Y4" s="95"/>
      <c r="Z4" s="95"/>
      <c r="AA4" s="107" t="s">
        <v>175</v>
      </c>
      <c r="AB4" s="95"/>
      <c r="AC4" s="95"/>
      <c r="AD4" s="95"/>
      <c r="AE4" s="95"/>
      <c r="AF4" s="95"/>
      <c r="AG4" s="95"/>
      <c r="AH4" s="95"/>
      <c r="AI4" s="300"/>
    </row>
    <row r="5" spans="1:125">
      <c r="B5" s="225"/>
      <c r="C5" s="92" t="s">
        <v>39</v>
      </c>
      <c r="D5" s="91"/>
      <c r="E5" s="91"/>
      <c r="F5" s="259"/>
      <c r="G5" s="260"/>
      <c r="H5" s="260"/>
      <c r="I5" s="261"/>
      <c r="J5" s="260"/>
      <c r="K5" s="260"/>
      <c r="L5" s="260"/>
      <c r="M5" s="264" t="s">
        <v>179</v>
      </c>
      <c r="N5" s="260"/>
      <c r="O5" s="260"/>
      <c r="P5" s="260"/>
      <c r="Q5" s="260"/>
      <c r="R5" s="260"/>
      <c r="S5" s="260"/>
      <c r="T5" s="260"/>
      <c r="U5" s="260"/>
      <c r="V5" s="263"/>
      <c r="W5" s="95"/>
      <c r="X5" s="95"/>
      <c r="Y5" s="95"/>
      <c r="Z5" s="95"/>
      <c r="AA5" s="123" t="s">
        <v>179</v>
      </c>
      <c r="AB5" s="95"/>
      <c r="AC5" s="95"/>
      <c r="AD5" s="95"/>
      <c r="AE5" s="95"/>
      <c r="AF5" s="95"/>
      <c r="AG5" s="95"/>
      <c r="AH5" s="95"/>
      <c r="AI5" s="300"/>
    </row>
    <row r="6" spans="1:125" s="1" customFormat="1">
      <c r="A6" s="117" t="s">
        <v>40</v>
      </c>
      <c r="B6" s="310" t="s">
        <v>0</v>
      </c>
      <c r="C6" s="119" t="s">
        <v>1</v>
      </c>
      <c r="D6" s="119" t="s">
        <v>2</v>
      </c>
      <c r="E6" s="119" t="s">
        <v>3</v>
      </c>
      <c r="F6" s="316" t="s">
        <v>18</v>
      </c>
      <c r="G6" s="120" t="s">
        <v>19</v>
      </c>
      <c r="H6" s="120" t="s">
        <v>20</v>
      </c>
      <c r="I6" s="120" t="s">
        <v>21</v>
      </c>
      <c r="J6" s="120" t="s">
        <v>22</v>
      </c>
      <c r="K6" s="120" t="s">
        <v>23</v>
      </c>
      <c r="L6" s="120" t="s">
        <v>24</v>
      </c>
      <c r="M6" s="120" t="s">
        <v>25</v>
      </c>
      <c r="N6" s="120" t="s">
        <v>26</v>
      </c>
      <c r="O6" s="120" t="s">
        <v>27</v>
      </c>
      <c r="P6" s="120" t="s">
        <v>28</v>
      </c>
      <c r="Q6" s="120" t="s">
        <v>29</v>
      </c>
      <c r="R6" s="120" t="s">
        <v>30</v>
      </c>
      <c r="S6" s="120" t="s">
        <v>31</v>
      </c>
      <c r="T6" s="120" t="s">
        <v>32</v>
      </c>
      <c r="U6" s="120" t="s">
        <v>33</v>
      </c>
      <c r="V6" s="318" t="s">
        <v>17</v>
      </c>
      <c r="W6" s="121" t="s">
        <v>4</v>
      </c>
      <c r="X6" s="121" t="s">
        <v>5</v>
      </c>
      <c r="Y6" s="121" t="s">
        <v>6</v>
      </c>
      <c r="Z6" s="122" t="s">
        <v>7</v>
      </c>
      <c r="AA6" s="121" t="s">
        <v>8</v>
      </c>
      <c r="AB6" s="121" t="s">
        <v>9</v>
      </c>
      <c r="AC6" s="121" t="s">
        <v>10</v>
      </c>
      <c r="AD6" s="121" t="s">
        <v>11</v>
      </c>
      <c r="AE6" s="121" t="s">
        <v>12</v>
      </c>
      <c r="AF6" s="121" t="s">
        <v>13</v>
      </c>
      <c r="AG6" s="121" t="s">
        <v>14</v>
      </c>
      <c r="AH6" s="121" t="s">
        <v>15</v>
      </c>
      <c r="AI6" s="220" t="s">
        <v>16</v>
      </c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</row>
    <row r="7" spans="1:125" ht="13.5" thickBot="1">
      <c r="A7" s="70" t="s">
        <v>77</v>
      </c>
      <c r="B7" s="324" t="s">
        <v>93</v>
      </c>
      <c r="C7" s="325" t="s">
        <v>93</v>
      </c>
      <c r="D7" s="325" t="s">
        <v>93</v>
      </c>
      <c r="E7" s="325" t="s">
        <v>94</v>
      </c>
      <c r="F7" s="326" t="s">
        <v>93</v>
      </c>
      <c r="G7" s="327" t="s">
        <v>93</v>
      </c>
      <c r="H7" s="327" t="s">
        <v>93</v>
      </c>
      <c r="I7" s="327" t="s">
        <v>93</v>
      </c>
      <c r="J7" s="327" t="s">
        <v>93</v>
      </c>
      <c r="K7" s="327" t="s">
        <v>93</v>
      </c>
      <c r="L7" s="327" t="s">
        <v>93</v>
      </c>
      <c r="M7" s="327" t="s">
        <v>93</v>
      </c>
      <c r="N7" s="327" t="s">
        <v>93</v>
      </c>
      <c r="O7" s="327" t="s">
        <v>93</v>
      </c>
      <c r="P7" s="327" t="s">
        <v>93</v>
      </c>
      <c r="Q7" s="327" t="s">
        <v>93</v>
      </c>
      <c r="R7" s="327" t="s">
        <v>93</v>
      </c>
      <c r="S7" s="94" t="s">
        <v>93</v>
      </c>
      <c r="T7" s="94" t="s">
        <v>93</v>
      </c>
      <c r="U7" s="94" t="s">
        <v>93</v>
      </c>
      <c r="V7" s="319" t="s">
        <v>93</v>
      </c>
      <c r="W7" s="328" t="s">
        <v>93</v>
      </c>
      <c r="X7" s="329" t="s">
        <v>91</v>
      </c>
      <c r="Y7" s="330" t="s">
        <v>91</v>
      </c>
      <c r="Z7" s="331" t="s">
        <v>91</v>
      </c>
      <c r="AA7" s="330" t="s">
        <v>93</v>
      </c>
      <c r="AB7" s="330" t="s">
        <v>91</v>
      </c>
      <c r="AC7" s="330" t="s">
        <v>91</v>
      </c>
      <c r="AD7" s="330" t="s">
        <v>91</v>
      </c>
      <c r="AE7" s="330" t="s">
        <v>93</v>
      </c>
      <c r="AF7" s="330" t="s">
        <v>93</v>
      </c>
      <c r="AG7" s="330" t="s">
        <v>93</v>
      </c>
      <c r="AH7" s="330" t="s">
        <v>93</v>
      </c>
      <c r="AI7" s="332" t="s">
        <v>91</v>
      </c>
    </row>
    <row r="8" spans="1:125">
      <c r="A8" s="272" t="s">
        <v>190</v>
      </c>
      <c r="B8" s="51">
        <v>92.7</v>
      </c>
      <c r="C8" s="61" t="s">
        <v>208</v>
      </c>
      <c r="D8" s="51">
        <v>73.045307443365687</v>
      </c>
      <c r="E8" s="55">
        <v>5292.8478964401293</v>
      </c>
      <c r="F8" s="244">
        <v>4.4444444444444446</v>
      </c>
      <c r="G8" s="29">
        <v>5.1456310679611645</v>
      </c>
      <c r="H8" s="29">
        <v>6.3430420711974103</v>
      </c>
      <c r="I8" s="29">
        <v>8.7918015102481117</v>
      </c>
      <c r="J8" s="29">
        <v>4.1316073354908305</v>
      </c>
      <c r="K8" s="29">
        <v>1.8985976267529665</v>
      </c>
      <c r="L8" s="29">
        <v>3.3549083063646168</v>
      </c>
      <c r="M8" s="29">
        <v>5.4368932038834945</v>
      </c>
      <c r="N8" s="29">
        <v>5.5987055016181229</v>
      </c>
      <c r="O8" s="29">
        <v>2.0604099244875944</v>
      </c>
      <c r="P8" s="29">
        <v>3.1283710895361376</v>
      </c>
      <c r="Q8" s="29">
        <v>3.0960086299892127</v>
      </c>
      <c r="R8" s="29">
        <v>2.740021574973031</v>
      </c>
      <c r="S8" s="29">
        <v>3.1499460625674214</v>
      </c>
      <c r="T8" s="29">
        <v>2.5674217907227614</v>
      </c>
      <c r="U8" s="29">
        <v>3.7648327939590076</v>
      </c>
      <c r="V8" s="245">
        <f t="shared" ref="V8:V31" si="0">SUM(F8:U8)</f>
        <v>65.652642934196322</v>
      </c>
      <c r="W8" s="15">
        <v>3.883495145631068</v>
      </c>
      <c r="X8" s="67" t="s">
        <v>174</v>
      </c>
      <c r="Y8" s="54">
        <f>(0.00069039913700107)*10000</f>
        <v>6.9039913700106998</v>
      </c>
      <c r="Z8" s="54">
        <v>194.17475728155338</v>
      </c>
      <c r="AA8" s="15">
        <v>0.31283710895361377</v>
      </c>
      <c r="AB8" s="54">
        <v>10.140237324703344</v>
      </c>
      <c r="AC8" s="125" t="s">
        <v>174</v>
      </c>
      <c r="AD8" s="54" t="s">
        <v>92</v>
      </c>
      <c r="AE8" s="15">
        <v>3.0204962243797193</v>
      </c>
      <c r="AF8" s="15">
        <v>0.86299892125134836</v>
      </c>
      <c r="AG8" s="15">
        <v>1.0248112189859762</v>
      </c>
      <c r="AH8" s="15">
        <v>1.035598705501618</v>
      </c>
      <c r="AI8" s="304">
        <v>85.221143473570706</v>
      </c>
      <c r="AJ8" s="52"/>
    </row>
    <row r="9" spans="1:125">
      <c r="A9" s="273" t="s">
        <v>191</v>
      </c>
      <c r="B9" s="51">
        <v>94.72</v>
      </c>
      <c r="C9" s="135" t="s">
        <v>212</v>
      </c>
      <c r="D9" s="51">
        <v>69.448902027027017</v>
      </c>
      <c r="E9" s="55">
        <v>5075.1266891891892</v>
      </c>
      <c r="F9" s="244">
        <v>4.4763513513513518</v>
      </c>
      <c r="G9" s="29">
        <v>5.5215371621621623</v>
      </c>
      <c r="H9" s="29">
        <v>5.9332770270270272</v>
      </c>
      <c r="I9" s="29">
        <v>8.7837837837837842</v>
      </c>
      <c r="J9" s="29">
        <v>6.2077702702702702</v>
      </c>
      <c r="K9" s="29">
        <v>1.3196790540540539</v>
      </c>
      <c r="L9" s="29">
        <v>2.7554898648648645</v>
      </c>
      <c r="M9" s="29">
        <v>4.6875</v>
      </c>
      <c r="N9" s="29">
        <v>4.7508445945945947</v>
      </c>
      <c r="O9" s="29">
        <v>1.9214527027027026</v>
      </c>
      <c r="P9" s="29">
        <v>2.6921452702702702</v>
      </c>
      <c r="Q9" s="29">
        <v>3.7056587837837833</v>
      </c>
      <c r="R9" s="29">
        <v>3.0722128378378377</v>
      </c>
      <c r="S9" s="29">
        <v>2.9455236486486487</v>
      </c>
      <c r="T9" s="29">
        <v>2.2065033783783781</v>
      </c>
      <c r="U9" s="29">
        <v>3.2094594594594592</v>
      </c>
      <c r="V9" s="245">
        <f t="shared" si="0"/>
        <v>64.189189189189179</v>
      </c>
      <c r="W9" s="15">
        <v>5.2787162162162167</v>
      </c>
      <c r="X9" s="67" t="s">
        <v>174</v>
      </c>
      <c r="Y9" s="54">
        <f>0.000855152027027027*10000</f>
        <v>8.5515202702702702</v>
      </c>
      <c r="Z9" s="54">
        <v>179.47635135135135</v>
      </c>
      <c r="AA9" s="15">
        <v>0.1900337837837838</v>
      </c>
      <c r="AB9" s="54">
        <v>13.724662162162163</v>
      </c>
      <c r="AC9" s="125" t="s">
        <v>174</v>
      </c>
      <c r="AD9" s="54" t="s">
        <v>92</v>
      </c>
      <c r="AE9" s="15">
        <v>3.5895270270270272</v>
      </c>
      <c r="AF9" s="15">
        <v>1.0240709459459461</v>
      </c>
      <c r="AG9" s="15">
        <v>0.9184966216216216</v>
      </c>
      <c r="AH9" s="15">
        <v>0.87626689189189189</v>
      </c>
      <c r="AI9" s="304">
        <v>126.68918918918918</v>
      </c>
      <c r="AJ9" s="52"/>
    </row>
    <row r="10" spans="1:125">
      <c r="A10" s="273" t="s">
        <v>192</v>
      </c>
      <c r="B10" s="51">
        <v>91.456999999999994</v>
      </c>
      <c r="C10" s="135" t="s">
        <v>212</v>
      </c>
      <c r="D10" s="51">
        <v>73.474966377641948</v>
      </c>
      <c r="E10" s="55">
        <v>5142.4822594224615</v>
      </c>
      <c r="F10" s="244">
        <v>4.2971013700427534</v>
      </c>
      <c r="G10" s="29">
        <v>5.8497435953508212</v>
      </c>
      <c r="H10" s="29">
        <v>5.8497435953508212</v>
      </c>
      <c r="I10" s="29">
        <v>8.4192571372338918</v>
      </c>
      <c r="J10" s="29">
        <v>5.3467749871524326</v>
      </c>
      <c r="K10" s="29">
        <v>1.5307740249516166</v>
      </c>
      <c r="L10" s="29">
        <v>2.8209978459822653</v>
      </c>
      <c r="M10" s="29">
        <v>4.8110040784193675</v>
      </c>
      <c r="N10" s="29">
        <v>4.9859496812709798</v>
      </c>
      <c r="O10" s="29">
        <v>1.8915993308330694</v>
      </c>
      <c r="P10" s="29">
        <v>2.7225909443782328</v>
      </c>
      <c r="Q10" s="29">
        <v>3.4442415561411379</v>
      </c>
      <c r="R10" s="29">
        <v>2.5476453415266196</v>
      </c>
      <c r="S10" s="29">
        <v>2.8209978459822653</v>
      </c>
      <c r="T10" s="29">
        <v>2.2852269372491993</v>
      </c>
      <c r="U10" s="29">
        <v>3.2802300534677502</v>
      </c>
      <c r="V10" s="245">
        <f t="shared" si="0"/>
        <v>62.90387832533321</v>
      </c>
      <c r="W10" s="15">
        <v>5.2483680855484005</v>
      </c>
      <c r="X10" s="15">
        <v>0.26241840427742003</v>
      </c>
      <c r="Y10" s="54">
        <f>0.000328023005346775*10000</f>
        <v>3.2802300534677498</v>
      </c>
      <c r="Z10" s="54">
        <v>721.6506117629051</v>
      </c>
      <c r="AA10" s="15">
        <v>0.21868200356451667</v>
      </c>
      <c r="AB10" s="54">
        <v>43.73640071290334</v>
      </c>
      <c r="AC10" s="125" t="s">
        <v>174</v>
      </c>
      <c r="AD10" s="54" t="s">
        <v>92</v>
      </c>
      <c r="AE10" s="15">
        <v>3.8269350623790417</v>
      </c>
      <c r="AF10" s="15">
        <v>1.3120920213871001</v>
      </c>
      <c r="AG10" s="15">
        <v>0.5029686081983884</v>
      </c>
      <c r="AH10" s="15">
        <v>0.91846441497096998</v>
      </c>
      <c r="AI10" s="304">
        <v>120.27510196048415</v>
      </c>
      <c r="AJ10" s="52"/>
    </row>
    <row r="11" spans="1:125">
      <c r="A11" s="273" t="s">
        <v>193</v>
      </c>
      <c r="B11" s="51">
        <v>93.155000000000001</v>
      </c>
      <c r="C11" s="135" t="s">
        <v>212</v>
      </c>
      <c r="D11" s="51">
        <v>70.497557833717991</v>
      </c>
      <c r="E11" s="55">
        <v>6647.3297192850623</v>
      </c>
      <c r="F11" s="244">
        <v>4.3046535344318606</v>
      </c>
      <c r="G11" s="29">
        <v>5.1312328914175298</v>
      </c>
      <c r="H11" s="29">
        <v>6.108099404218776</v>
      </c>
      <c r="I11" s="29">
        <v>8.6844506467715092</v>
      </c>
      <c r="J11" s="29">
        <v>4.3583275186517092</v>
      </c>
      <c r="K11" s="29">
        <v>1.8678546508507328</v>
      </c>
      <c r="L11" s="29">
        <v>3.0701518973753421</v>
      </c>
      <c r="M11" s="29">
        <v>5.1527024851054692</v>
      </c>
      <c r="N11" s="29">
        <v>5.2815200472331059</v>
      </c>
      <c r="O11" s="29">
        <v>2.0074070098223391</v>
      </c>
      <c r="P11" s="29">
        <v>2.8232515699640381</v>
      </c>
      <c r="Q11" s="29">
        <v>3.1238258815951911</v>
      </c>
      <c r="R11" s="29">
        <v>2.6729644141484625</v>
      </c>
      <c r="S11" s="29">
        <v>2.9842735226235844</v>
      </c>
      <c r="T11" s="29">
        <v>2.3294509151414311</v>
      </c>
      <c r="U11" s="29">
        <v>3.5424829585100102</v>
      </c>
      <c r="V11" s="245">
        <f t="shared" si="0"/>
        <v>63.442649347861078</v>
      </c>
      <c r="W11" s="15">
        <v>3.9718748322687993</v>
      </c>
      <c r="X11" s="15">
        <v>0.34351349900703126</v>
      </c>
      <c r="Y11" s="54">
        <f>0.000644087810638184*10000</f>
        <v>6.4408781063818399</v>
      </c>
      <c r="Z11" s="54">
        <v>719.23138854597187</v>
      </c>
      <c r="AA11" s="15">
        <v>0.32204390531909183</v>
      </c>
      <c r="AB11" s="54">
        <v>34.351349900703127</v>
      </c>
      <c r="AC11" s="125" t="s">
        <v>174</v>
      </c>
      <c r="AD11" s="54">
        <f>0.00037571788953894*10000</f>
        <v>3.7571788953893996</v>
      </c>
      <c r="AE11" s="15">
        <v>3.0057431163115238</v>
      </c>
      <c r="AF11" s="15">
        <v>1.0734796843969727</v>
      </c>
      <c r="AG11" s="15">
        <v>1.3955235897160647</v>
      </c>
      <c r="AH11" s="15">
        <v>1.0520100907090333</v>
      </c>
      <c r="AI11" s="304">
        <v>107.34796843969727</v>
      </c>
      <c r="AJ11" s="52"/>
    </row>
    <row r="12" spans="1:125">
      <c r="A12" s="273" t="s">
        <v>194</v>
      </c>
      <c r="B12" s="51">
        <v>94.19</v>
      </c>
      <c r="C12" s="135" t="s">
        <v>212</v>
      </c>
      <c r="D12" s="51">
        <v>71.849453232827258</v>
      </c>
      <c r="E12" s="55">
        <v>5511.8908589022185</v>
      </c>
      <c r="F12" s="244">
        <v>4.2361184839154902</v>
      </c>
      <c r="G12" s="29">
        <v>5.0005308419152774</v>
      </c>
      <c r="H12" s="29">
        <v>6.1046820256927488</v>
      </c>
      <c r="I12" s="29">
        <v>8.5040874827476376</v>
      </c>
      <c r="J12" s="29">
        <v>4.1724174540821748</v>
      </c>
      <c r="K12" s="29">
        <v>2.4418728102770992</v>
      </c>
      <c r="L12" s="29">
        <v>3.0682662703047034</v>
      </c>
      <c r="M12" s="29">
        <v>5.1916339314152244</v>
      </c>
      <c r="N12" s="29">
        <v>5.4039706975262769</v>
      </c>
      <c r="O12" s="29">
        <v>1.9853487631383375</v>
      </c>
      <c r="P12" s="29">
        <v>2.8771631808047564</v>
      </c>
      <c r="Q12" s="29">
        <v>3.0045652404713876</v>
      </c>
      <c r="R12" s="29">
        <v>2.8028453126658883</v>
      </c>
      <c r="S12" s="29">
        <v>3.0151820787769403</v>
      </c>
      <c r="T12" s="29">
        <v>2.4631064868882047</v>
      </c>
      <c r="U12" s="29">
        <v>3.6203418621934391</v>
      </c>
      <c r="V12" s="245">
        <f t="shared" si="0"/>
        <v>63.892132922815598</v>
      </c>
      <c r="W12" s="15">
        <v>3.1850514916657819</v>
      </c>
      <c r="X12" s="27" t="s">
        <v>174</v>
      </c>
      <c r="Y12" s="54">
        <f>0.000520225076972078*10000</f>
        <v>5.2022507697207807</v>
      </c>
      <c r="Z12" s="54">
        <v>276.03779594436782</v>
      </c>
      <c r="AA12" s="15">
        <v>0.25480411933326258</v>
      </c>
      <c r="AB12" s="54">
        <v>15.925257458328909</v>
      </c>
      <c r="AC12" s="125" t="s">
        <v>174</v>
      </c>
      <c r="AD12" s="54">
        <f>0.000254804119333263*10000</f>
        <v>2.5480411933326303</v>
      </c>
      <c r="AE12" s="15">
        <v>2.5480411933326255</v>
      </c>
      <c r="AF12" s="15">
        <v>1.0085996390274976</v>
      </c>
      <c r="AG12" s="15">
        <v>1.1678522136107869</v>
      </c>
      <c r="AH12" s="15">
        <v>1.0192164773330503</v>
      </c>
      <c r="AI12" s="304">
        <v>42.467353222210427</v>
      </c>
      <c r="AJ12" s="52"/>
    </row>
    <row r="13" spans="1:125">
      <c r="A13" s="269" t="s">
        <v>47</v>
      </c>
      <c r="B13" s="51">
        <v>89.49</v>
      </c>
      <c r="C13" s="135" t="s">
        <v>212</v>
      </c>
      <c r="D13" s="51">
        <v>96.445412895295576</v>
      </c>
      <c r="E13" s="55">
        <v>6233.1880657056663</v>
      </c>
      <c r="F13" s="244">
        <v>7.4645211755503409</v>
      </c>
      <c r="G13" s="29">
        <v>5.3637277908146164</v>
      </c>
      <c r="H13" s="29">
        <v>9.7217566208514921</v>
      </c>
      <c r="I13" s="29">
        <v>8.0679405520169851</v>
      </c>
      <c r="J13" s="29">
        <v>4.011621410213432</v>
      </c>
      <c r="K13" s="29">
        <v>5.4084255224047384</v>
      </c>
      <c r="L13" s="29">
        <v>1.039222259470332</v>
      </c>
      <c r="M13" s="29">
        <v>12.403620516258801</v>
      </c>
      <c r="N13" s="29">
        <v>8.8613252877416482</v>
      </c>
      <c r="O13" s="29">
        <v>1.530897306961672</v>
      </c>
      <c r="P13" s="29">
        <v>7.3863001452676285</v>
      </c>
      <c r="Q13" s="29">
        <v>4.0339702760084926</v>
      </c>
      <c r="R13" s="29">
        <v>5.2519834618393126</v>
      </c>
      <c r="S13" s="29">
        <v>5.3078556263269645</v>
      </c>
      <c r="T13" s="29">
        <v>3.4305508995418483</v>
      </c>
      <c r="U13" s="29">
        <v>8.2690803441725347</v>
      </c>
      <c r="V13" s="245">
        <f t="shared" si="0"/>
        <v>97.552799195440841</v>
      </c>
      <c r="W13" s="15">
        <v>0.12291876187283496</v>
      </c>
      <c r="X13" s="27" t="s">
        <v>174</v>
      </c>
      <c r="Y13" s="54">
        <v>61.459380936417482</v>
      </c>
      <c r="Z13" s="54">
        <v>2570.1195664320035</v>
      </c>
      <c r="AA13" s="15">
        <v>3.2405855402838309E-2</v>
      </c>
      <c r="AB13" s="15">
        <v>20.11397921555481</v>
      </c>
      <c r="AC13" s="125" t="s">
        <v>174</v>
      </c>
      <c r="AD13" s="54" t="s">
        <v>92</v>
      </c>
      <c r="AE13" s="15">
        <v>0.12291876187283496</v>
      </c>
      <c r="AF13" s="15">
        <v>0.11174432897530451</v>
      </c>
      <c r="AG13" s="15">
        <v>0.34640741982344397</v>
      </c>
      <c r="AH13" s="15">
        <v>0.75986143703207065</v>
      </c>
      <c r="AI13" s="304">
        <v>35.758185272097442</v>
      </c>
      <c r="AJ13" s="52"/>
    </row>
    <row r="14" spans="1:125">
      <c r="A14" s="269" t="s">
        <v>41</v>
      </c>
      <c r="B14" s="51">
        <v>94.53</v>
      </c>
      <c r="C14" s="135" t="s">
        <v>212</v>
      </c>
      <c r="D14" s="51">
        <v>87.379667830318411</v>
      </c>
      <c r="E14" s="55">
        <v>6422.1834338305298</v>
      </c>
      <c r="F14" s="244">
        <v>3.6919496456151486</v>
      </c>
      <c r="G14" s="29">
        <v>7.1934835501957046</v>
      </c>
      <c r="H14" s="29">
        <v>5.2575901830106844</v>
      </c>
      <c r="I14" s="29">
        <v>7.3310060298317987</v>
      </c>
      <c r="J14" s="29">
        <v>6.4212419337776367</v>
      </c>
      <c r="K14" s="29">
        <v>0.57124722310377662</v>
      </c>
      <c r="L14" s="29">
        <v>4.0516238231249337</v>
      </c>
      <c r="M14" s="29">
        <v>6.8549666772453195</v>
      </c>
      <c r="N14" s="29">
        <v>1.2905955781233469</v>
      </c>
      <c r="O14" s="29">
        <v>0.5183539617052787</v>
      </c>
      <c r="P14" s="29">
        <v>4.5170845234317145</v>
      </c>
      <c r="Q14" s="29">
        <v>10.134348883952184</v>
      </c>
      <c r="R14" s="29">
        <v>9.2880567015762185</v>
      </c>
      <c r="S14" s="29">
        <v>3.9458373003279381</v>
      </c>
      <c r="T14" s="29">
        <v>2.7716068972812864</v>
      </c>
      <c r="U14" s="29">
        <v>6.7068655453295243</v>
      </c>
      <c r="V14" s="245">
        <f t="shared" si="0"/>
        <v>80.545858457632491</v>
      </c>
      <c r="W14" s="15">
        <v>0.23273035015339044</v>
      </c>
      <c r="X14" s="67" t="s">
        <v>174</v>
      </c>
      <c r="Y14" s="54">
        <v>13.7</v>
      </c>
      <c r="Z14" s="54">
        <v>476.03935258648045</v>
      </c>
      <c r="AA14" s="15">
        <v>3.1735956839098696E-2</v>
      </c>
      <c r="AB14" s="15">
        <v>12.694382735639479</v>
      </c>
      <c r="AC14" s="125" t="s">
        <v>174</v>
      </c>
      <c r="AD14" s="54" t="s">
        <v>92</v>
      </c>
      <c r="AE14" s="15">
        <v>0.1586797841954935</v>
      </c>
      <c r="AF14" s="15">
        <v>7.6166296413836862E-2</v>
      </c>
      <c r="AG14" s="15">
        <v>8.886067914947636E-2</v>
      </c>
      <c r="AH14" s="15">
        <v>1.904157410345922</v>
      </c>
      <c r="AI14" s="304">
        <v>116.36517507669522</v>
      </c>
      <c r="AJ14" s="52"/>
    </row>
    <row r="15" spans="1:125">
      <c r="A15" s="269" t="s">
        <v>48</v>
      </c>
      <c r="B15" s="51">
        <v>96.025000000000006</v>
      </c>
      <c r="C15" s="135" t="s">
        <v>212</v>
      </c>
      <c r="D15" s="51">
        <v>66.394168185368386</v>
      </c>
      <c r="E15" s="55">
        <v>5621.994272324916</v>
      </c>
      <c r="F15" s="244">
        <v>4.3322051549075757</v>
      </c>
      <c r="G15" s="29">
        <v>5.5089820359281436</v>
      </c>
      <c r="H15" s="29">
        <v>5.1965633949492318</v>
      </c>
      <c r="I15" s="29">
        <v>8.3519916688362397</v>
      </c>
      <c r="J15" s="29">
        <v>6.2067170007810466</v>
      </c>
      <c r="K15" s="29">
        <v>1.3329862015100233</v>
      </c>
      <c r="L15" s="29">
        <v>2.6034886748242645</v>
      </c>
      <c r="M15" s="29">
        <v>4.6342098411871904</v>
      </c>
      <c r="N15" s="29">
        <v>3.9156469669356935</v>
      </c>
      <c r="O15" s="29">
        <v>1.3746420203072116</v>
      </c>
      <c r="P15" s="29">
        <v>2.6659724030200467</v>
      </c>
      <c r="Q15" s="29">
        <v>4.2072376985160114</v>
      </c>
      <c r="R15" s="29">
        <v>2.5618328560270762</v>
      </c>
      <c r="S15" s="29">
        <v>2.6243165842228584</v>
      </c>
      <c r="T15" s="29">
        <v>2.1661025774537879</v>
      </c>
      <c r="U15" s="29">
        <v>3.1346003644884139</v>
      </c>
      <c r="V15" s="245">
        <f t="shared" si="0"/>
        <v>60.817495443894821</v>
      </c>
      <c r="W15" s="15">
        <v>3.1241864097891172</v>
      </c>
      <c r="X15" s="27" t="s">
        <v>174</v>
      </c>
      <c r="Y15" s="54">
        <v>22.9</v>
      </c>
      <c r="Z15" s="54">
        <v>437.38609737047642</v>
      </c>
      <c r="AA15" s="15">
        <v>0.14579536579015881</v>
      </c>
      <c r="AB15" s="15">
        <v>10.41395469929706</v>
      </c>
      <c r="AC15" s="67" t="s">
        <v>174</v>
      </c>
      <c r="AD15" s="54">
        <f>0.000260348867482426*10000</f>
        <v>2.6034886748242601</v>
      </c>
      <c r="AE15" s="15">
        <v>2.3952095808383227</v>
      </c>
      <c r="AF15" s="15">
        <v>0.89560010413954694</v>
      </c>
      <c r="AG15" s="15">
        <v>0.69773496485290287</v>
      </c>
      <c r="AH15" s="15">
        <v>0.76021869304868517</v>
      </c>
      <c r="AI15" s="304">
        <v>102.05675605311116</v>
      </c>
      <c r="AJ15" s="52"/>
    </row>
    <row r="16" spans="1:125">
      <c r="A16" s="269" t="s">
        <v>45</v>
      </c>
      <c r="B16" s="51">
        <v>94.325000000000003</v>
      </c>
      <c r="C16" s="135" t="s">
        <v>212</v>
      </c>
      <c r="D16" s="51">
        <v>72.16326530612244</v>
      </c>
      <c r="E16" s="55">
        <v>5212.4993373972957</v>
      </c>
      <c r="F16" s="244">
        <v>3.0744765438642987</v>
      </c>
      <c r="G16" s="29">
        <v>6.7532467532467528</v>
      </c>
      <c r="H16" s="29">
        <v>8.0466472303206995</v>
      </c>
      <c r="I16" s="29">
        <v>13.029419560031803</v>
      </c>
      <c r="J16" s="29">
        <v>3.0214683275907768</v>
      </c>
      <c r="K16" s="29">
        <v>1.8128809965544659</v>
      </c>
      <c r="L16" s="29">
        <v>3.3925258415054333</v>
      </c>
      <c r="M16" s="29">
        <v>5.6506758547574876</v>
      </c>
      <c r="N16" s="29">
        <v>4.2830638749006091</v>
      </c>
      <c r="O16" s="29">
        <v>1.0177577524516299</v>
      </c>
      <c r="P16" s="29">
        <v>3.8377948582030212</v>
      </c>
      <c r="Q16" s="29">
        <v>3.7953882851842033</v>
      </c>
      <c r="R16" s="29">
        <v>3.9226080042406575</v>
      </c>
      <c r="S16" s="29">
        <v>3.0532732573548897</v>
      </c>
      <c r="T16" s="29">
        <v>2.947256824807845</v>
      </c>
      <c r="U16" s="29">
        <v>3.5303472038165915</v>
      </c>
      <c r="V16" s="245">
        <f t="shared" si="0"/>
        <v>71.168831168831176</v>
      </c>
      <c r="W16" s="15">
        <v>0.39226080042406569</v>
      </c>
      <c r="X16" s="27" t="s">
        <v>174</v>
      </c>
      <c r="Y16" s="54">
        <v>27.5</v>
      </c>
      <c r="Z16" s="54">
        <v>212.03286509408957</v>
      </c>
      <c r="AA16" s="15">
        <v>0.33925258415054332</v>
      </c>
      <c r="AB16" s="15">
        <v>57.24887357540419</v>
      </c>
      <c r="AC16" s="54">
        <f>0.000243837794858203*10000</f>
        <v>2.4383779485820298</v>
      </c>
      <c r="AD16" s="54">
        <f>0.000477073946461702*10000</f>
        <v>4.7707394646170203</v>
      </c>
      <c r="AE16" s="15">
        <v>0.98595282268751649</v>
      </c>
      <c r="AF16" s="15">
        <v>1.484230055658627</v>
      </c>
      <c r="AG16" s="15">
        <v>0.31804929764113438</v>
      </c>
      <c r="AH16" s="15">
        <v>0.72091174131990454</v>
      </c>
      <c r="AI16" s="304">
        <v>43.466737344288369</v>
      </c>
      <c r="AJ16" s="52"/>
    </row>
    <row r="17" spans="1:36">
      <c r="A17" s="269" t="s">
        <v>42</v>
      </c>
      <c r="B17" s="51">
        <v>91.045000000000002</v>
      </c>
      <c r="C17" s="135" t="s">
        <v>212</v>
      </c>
      <c r="D17" s="51">
        <v>70.192761821077482</v>
      </c>
      <c r="E17" s="55">
        <v>5935.1309791861177</v>
      </c>
      <c r="F17" s="244">
        <v>5.843264319841837</v>
      </c>
      <c r="G17" s="29">
        <v>2.7349113075951457</v>
      </c>
      <c r="H17" s="29">
        <v>4.1627766489098796</v>
      </c>
      <c r="I17" s="29">
        <v>14.388489208633093</v>
      </c>
      <c r="J17" s="29">
        <v>1.9221264210006042</v>
      </c>
      <c r="K17" s="29">
        <v>1.3399967049261354</v>
      </c>
      <c r="L17" s="29">
        <v>2.9106485803723432</v>
      </c>
      <c r="M17" s="29">
        <v>11.324070514580702</v>
      </c>
      <c r="N17" s="29">
        <v>1.2521280685375362</v>
      </c>
      <c r="O17" s="29">
        <v>1.5157339777033334</v>
      </c>
      <c r="P17" s="29">
        <v>4.5911362513042997</v>
      </c>
      <c r="Q17" s="29">
        <v>6.3704761381734309</v>
      </c>
      <c r="R17" s="29">
        <v>3.7893349442583339</v>
      </c>
      <c r="S17" s="29">
        <v>2.5152397166236478</v>
      </c>
      <c r="T17" s="29">
        <v>3.9101543192926576</v>
      </c>
      <c r="U17" s="29">
        <v>3.2401559668295898</v>
      </c>
      <c r="V17" s="245">
        <f t="shared" si="0"/>
        <v>71.81064308858258</v>
      </c>
      <c r="W17" s="15">
        <v>5.8212971607446866E-2</v>
      </c>
      <c r="X17" s="27" t="s">
        <v>174</v>
      </c>
      <c r="Y17" s="54">
        <v>14.2</v>
      </c>
      <c r="Z17" s="54">
        <v>263.60590916579713</v>
      </c>
      <c r="AA17" s="15">
        <v>5.711461365258938E-2</v>
      </c>
      <c r="AB17" s="15">
        <v>7.4688340930309192</v>
      </c>
      <c r="AC17" s="68" t="s">
        <v>174</v>
      </c>
      <c r="AD17" s="54" t="s">
        <v>92</v>
      </c>
      <c r="AE17" s="15">
        <v>0.63704761381734298</v>
      </c>
      <c r="AF17" s="15">
        <v>0.19770443187434786</v>
      </c>
      <c r="AG17" s="15">
        <v>5.3819539788016915E-2</v>
      </c>
      <c r="AH17" s="15">
        <v>1.010489318468889</v>
      </c>
      <c r="AI17" s="304">
        <v>29.655664781152179</v>
      </c>
      <c r="AJ17" s="52"/>
    </row>
    <row r="18" spans="1:36">
      <c r="A18" s="269" t="s">
        <v>46</v>
      </c>
      <c r="B18" s="51">
        <v>93.41</v>
      </c>
      <c r="C18" s="135" t="s">
        <v>212</v>
      </c>
      <c r="D18" s="51">
        <v>83.265175034792861</v>
      </c>
      <c r="E18" s="55">
        <v>5822.7705813082121</v>
      </c>
      <c r="F18" s="244">
        <v>2.1196873996360135</v>
      </c>
      <c r="G18" s="29">
        <v>3.5863397923134572</v>
      </c>
      <c r="H18" s="29">
        <v>2.6335510116689864</v>
      </c>
      <c r="I18" s="173">
        <v>29.975377368590088</v>
      </c>
      <c r="J18" s="29">
        <v>2.7191949470078152</v>
      </c>
      <c r="K18" s="29">
        <v>1.7449951825286372</v>
      </c>
      <c r="L18" s="29">
        <v>3.2544695428754955</v>
      </c>
      <c r="M18" s="29">
        <v>5.866609570709775</v>
      </c>
      <c r="N18" s="29">
        <v>1.295364521999786</v>
      </c>
      <c r="O18" s="29">
        <v>1.5522963280162725</v>
      </c>
      <c r="P18" s="29">
        <v>4.2929022588587946</v>
      </c>
      <c r="Q18" s="29">
        <v>11.155122577882455</v>
      </c>
      <c r="R18" s="29">
        <v>4.1109088962637834</v>
      </c>
      <c r="S18" s="29">
        <v>2.3016807622310247</v>
      </c>
      <c r="T18" s="29">
        <v>2.8690718338507657</v>
      </c>
      <c r="U18" s="29">
        <v>3.5756343003961035</v>
      </c>
      <c r="V18" s="245">
        <f t="shared" si="0"/>
        <v>83.053206294829266</v>
      </c>
      <c r="W18" s="15">
        <v>7.3867894229739869E-2</v>
      </c>
      <c r="X18" s="45" t="s">
        <v>174</v>
      </c>
      <c r="Y18" s="54">
        <v>42.821967669414413</v>
      </c>
      <c r="Z18" s="54">
        <v>41.751418477679046</v>
      </c>
      <c r="AA18" s="15">
        <v>2.6763729793384008E-2</v>
      </c>
      <c r="AB18" s="15">
        <v>16.058237876030404</v>
      </c>
      <c r="AC18" s="68" t="s">
        <v>174</v>
      </c>
      <c r="AD18" s="54" t="s">
        <v>92</v>
      </c>
      <c r="AE18" s="15">
        <v>0.17128787067765763</v>
      </c>
      <c r="AF18" s="15">
        <v>0.11776041109088962</v>
      </c>
      <c r="AG18" s="15">
        <v>1.9269885451236483E-2</v>
      </c>
      <c r="AH18" s="15">
        <v>0.80291189380152017</v>
      </c>
      <c r="AI18" s="304">
        <v>32.116475752060808</v>
      </c>
      <c r="AJ18" s="52"/>
    </row>
    <row r="19" spans="1:36">
      <c r="A19" s="273" t="s">
        <v>180</v>
      </c>
      <c r="B19" s="51">
        <v>92.424999999999997</v>
      </c>
      <c r="C19" s="135" t="s">
        <v>212</v>
      </c>
      <c r="D19" s="51">
        <v>84.738977549364336</v>
      </c>
      <c r="E19" s="55">
        <v>6067.5682986205029</v>
      </c>
      <c r="F19" s="244">
        <v>4.3386529618609684</v>
      </c>
      <c r="G19" s="29">
        <v>8.9477955098728685</v>
      </c>
      <c r="H19" s="29">
        <v>8.9477955098728685</v>
      </c>
      <c r="I19" s="29">
        <v>12.875304300784419</v>
      </c>
      <c r="J19" s="29">
        <v>3.3540708682715716</v>
      </c>
      <c r="K19" s="29">
        <v>1.8717879361644576</v>
      </c>
      <c r="L19" s="29">
        <v>3.6137408709764673</v>
      </c>
      <c r="M19" s="29">
        <v>6.9894509061401138</v>
      </c>
      <c r="N19" s="29">
        <v>2.7481741952934811</v>
      </c>
      <c r="O19" s="29">
        <v>1.915066269948607</v>
      </c>
      <c r="P19" s="29">
        <v>4.717338382472275</v>
      </c>
      <c r="Q19" s="29">
        <v>3.8084933730051391</v>
      </c>
      <c r="R19" s="29">
        <v>3.7760346226670274</v>
      </c>
      <c r="S19" s="29">
        <v>3.0619421152285637</v>
      </c>
      <c r="T19" s="29">
        <v>4.7822558831484985</v>
      </c>
      <c r="U19" s="29">
        <v>4.9229104679469842</v>
      </c>
      <c r="V19" s="245">
        <f t="shared" si="0"/>
        <v>80.670814173654293</v>
      </c>
      <c r="W19" s="15">
        <v>4.2196375439545577E-3</v>
      </c>
      <c r="X19" s="15">
        <v>0.17311333513659724</v>
      </c>
      <c r="Y19" s="54">
        <v>18.3</v>
      </c>
      <c r="Z19" s="54">
        <v>129.83500135244793</v>
      </c>
      <c r="AA19" s="15">
        <v>6.4917500676223965E-3</v>
      </c>
      <c r="AB19" s="15">
        <v>6.1671625642412762</v>
      </c>
      <c r="AC19" s="54">
        <f>0.000735731674330538*10000</f>
        <v>7.3573167433053799</v>
      </c>
      <c r="AD19" s="54" t="s">
        <v>92</v>
      </c>
      <c r="AE19" s="15">
        <v>0.46524208817960511</v>
      </c>
      <c r="AF19" s="15">
        <v>2.272112523667839E-2</v>
      </c>
      <c r="AG19" s="15">
        <v>0.15147416824452262</v>
      </c>
      <c r="AH19" s="15">
        <v>1.1901541790641061</v>
      </c>
      <c r="AI19" s="304">
        <v>106.03191777116581</v>
      </c>
      <c r="AJ19" s="52"/>
    </row>
    <row r="20" spans="1:36">
      <c r="A20" s="273" t="s">
        <v>181</v>
      </c>
      <c r="B20" s="51">
        <v>91.034999999999997</v>
      </c>
      <c r="C20" s="135" t="s">
        <v>212</v>
      </c>
      <c r="D20" s="51">
        <v>30.461910254297798</v>
      </c>
      <c r="E20" s="55">
        <v>5055.5280935903775</v>
      </c>
      <c r="F20" s="244">
        <v>0.9556763882023398</v>
      </c>
      <c r="G20" s="29">
        <v>2.1200637117592134</v>
      </c>
      <c r="H20" s="29">
        <v>1.7762399077277971</v>
      </c>
      <c r="I20" s="29">
        <v>6.0723897402098093</v>
      </c>
      <c r="J20" s="29">
        <v>0.93260833745262806</v>
      </c>
      <c r="K20" s="29">
        <v>0.59427692645685726</v>
      </c>
      <c r="L20" s="29">
        <v>1.1017740429505134</v>
      </c>
      <c r="M20" s="29">
        <v>1.9487010490470698</v>
      </c>
      <c r="N20" s="29">
        <v>1.000714011094634</v>
      </c>
      <c r="O20" s="29">
        <v>0.38446751249519412</v>
      </c>
      <c r="P20" s="29">
        <v>1.5873015873015874</v>
      </c>
      <c r="Q20" s="29">
        <v>2.9867633327840939</v>
      </c>
      <c r="R20" s="29">
        <v>1.0281759762728622</v>
      </c>
      <c r="S20" s="29">
        <v>0.93919920909540289</v>
      </c>
      <c r="T20" s="29">
        <v>1.0424561981655407</v>
      </c>
      <c r="U20" s="29">
        <v>1.3774921733399241</v>
      </c>
      <c r="V20" s="245">
        <f t="shared" si="0"/>
        <v>25.84830010435547</v>
      </c>
      <c r="W20" s="15">
        <v>4.7234580106552425E-2</v>
      </c>
      <c r="X20" s="45" t="s">
        <v>92</v>
      </c>
      <c r="Y20" s="54">
        <v>8.1</v>
      </c>
      <c r="Z20" s="54">
        <v>197.72614928324268</v>
      </c>
      <c r="AA20" s="15">
        <v>0.20871093535453397</v>
      </c>
      <c r="AB20" s="15">
        <v>18.674136321195142</v>
      </c>
      <c r="AC20" s="54">
        <f>0.00026363486571099*10000</f>
        <v>2.6363486571098997</v>
      </c>
      <c r="AD20" s="54" t="s">
        <v>92</v>
      </c>
      <c r="AE20" s="15">
        <v>0.68105673642005826</v>
      </c>
      <c r="AF20" s="15">
        <v>0.7469654528478058</v>
      </c>
      <c r="AG20" s="15">
        <v>2.306805074971165E-2</v>
      </c>
      <c r="AH20" s="15">
        <v>0.27461965178228154</v>
      </c>
      <c r="AI20" s="304">
        <v>75.795023891909707</v>
      </c>
      <c r="AJ20" s="52"/>
    </row>
    <row r="21" spans="1:36">
      <c r="A21" s="269" t="s">
        <v>49</v>
      </c>
      <c r="B21" s="51">
        <v>91.76</v>
      </c>
      <c r="C21" s="135" t="s">
        <v>212</v>
      </c>
      <c r="D21" s="51">
        <v>53.894943330427196</v>
      </c>
      <c r="E21" s="55">
        <v>4981.0156931124666</v>
      </c>
      <c r="F21" s="244">
        <v>2.092414995640802</v>
      </c>
      <c r="G21" s="29">
        <v>4.8931996512641671</v>
      </c>
      <c r="H21" s="29">
        <v>5.6124673060156933</v>
      </c>
      <c r="I21" s="29">
        <v>8.0863121185701825</v>
      </c>
      <c r="J21" s="29">
        <v>2.0706190061028766</v>
      </c>
      <c r="K21" s="29">
        <v>1.3077593722755012</v>
      </c>
      <c r="L21" s="29">
        <v>2.4411508282476024</v>
      </c>
      <c r="M21" s="29">
        <v>3.9886660854402787</v>
      </c>
      <c r="N21" s="29">
        <v>2.99694856146469</v>
      </c>
      <c r="O21" s="29">
        <v>0.6538796861377506</v>
      </c>
      <c r="P21" s="29">
        <v>2.7462946817785525</v>
      </c>
      <c r="Q21" s="29">
        <v>2.4520488230165647</v>
      </c>
      <c r="R21" s="29">
        <v>2.4193548387096775</v>
      </c>
      <c r="S21" s="29">
        <v>2.114210985178727</v>
      </c>
      <c r="T21" s="29">
        <v>2.114210985178727</v>
      </c>
      <c r="U21" s="29">
        <v>2.5283347863993022</v>
      </c>
      <c r="V21" s="245">
        <f t="shared" si="0"/>
        <v>48.517872711421091</v>
      </c>
      <c r="W21" s="15">
        <v>0.53400174367916298</v>
      </c>
      <c r="X21" s="45" t="s">
        <v>92</v>
      </c>
      <c r="Y21" s="54">
        <v>17.399999999999999</v>
      </c>
      <c r="Z21" s="54">
        <v>102.4411508282476</v>
      </c>
      <c r="AA21" s="15">
        <v>0.31604184829991278</v>
      </c>
      <c r="AB21" s="15">
        <v>42.502179598953781</v>
      </c>
      <c r="AC21" s="54">
        <f>0.0003487358326068*10000</f>
        <v>3.4873583260680001</v>
      </c>
      <c r="AD21" s="54">
        <f>0.00106800348735833*10000</f>
        <v>10.680034873583301</v>
      </c>
      <c r="AE21" s="15">
        <v>0.79555361813426329</v>
      </c>
      <c r="AF21" s="15">
        <v>2.5065387968613773</v>
      </c>
      <c r="AG21" s="15" t="s">
        <v>174</v>
      </c>
      <c r="AH21" s="15">
        <v>0.44681778552746293</v>
      </c>
      <c r="AI21" s="304">
        <v>58.849171752397559</v>
      </c>
      <c r="AJ21" s="52"/>
    </row>
    <row r="22" spans="1:36">
      <c r="A22" s="269" t="s">
        <v>50</v>
      </c>
      <c r="B22" s="51">
        <v>88.584999999999994</v>
      </c>
      <c r="C22" s="135" t="s">
        <v>212</v>
      </c>
      <c r="D22" s="51">
        <v>46.79347519331715</v>
      </c>
      <c r="E22" s="55">
        <v>4976.2036462154992</v>
      </c>
      <c r="F22" s="244">
        <v>1.7384433030422757</v>
      </c>
      <c r="G22" s="29">
        <v>6.9424846192922054</v>
      </c>
      <c r="H22" s="29">
        <v>6.9424846192922054</v>
      </c>
      <c r="I22" s="29">
        <v>7.8794378280747308</v>
      </c>
      <c r="J22" s="29">
        <v>1.8174634531805611</v>
      </c>
      <c r="K22" s="29">
        <v>1.2643224022125643</v>
      </c>
      <c r="L22" s="29">
        <v>1.5691144098888072</v>
      </c>
      <c r="M22" s="29">
        <v>2.8108596263475758</v>
      </c>
      <c r="N22" s="29">
        <v>1.8739064175650504</v>
      </c>
      <c r="O22" s="29">
        <v>0.58700682959869055</v>
      </c>
      <c r="P22" s="29">
        <v>2.6528193260710053</v>
      </c>
      <c r="Q22" s="29">
        <v>1.6707117457808884</v>
      </c>
      <c r="R22" s="29">
        <v>1.8739064175650504</v>
      </c>
      <c r="S22" s="29">
        <v>1.580403002765705</v>
      </c>
      <c r="T22" s="29">
        <v>1.591691595642603</v>
      </c>
      <c r="U22" s="29">
        <v>2.1674098323643958</v>
      </c>
      <c r="V22" s="245">
        <f t="shared" si="0"/>
        <v>44.962465428684325</v>
      </c>
      <c r="W22" s="15">
        <v>0.2596376361686516</v>
      </c>
      <c r="X22" s="15">
        <v>0.44025512219901786</v>
      </c>
      <c r="Y22" s="54">
        <v>13.5</v>
      </c>
      <c r="Z22" s="54">
        <v>158.04030027657055</v>
      </c>
      <c r="AA22" s="15">
        <v>0.69989275836766951</v>
      </c>
      <c r="AB22" s="15">
        <v>28.221482192244736</v>
      </c>
      <c r="AC22" s="27" t="s">
        <v>174</v>
      </c>
      <c r="AD22" s="54">
        <f>0.000756335722752159*10000</f>
        <v>7.5633572275215899</v>
      </c>
      <c r="AE22" s="15">
        <v>1.5804030027657054</v>
      </c>
      <c r="AF22" s="15">
        <v>1.8061748603036634</v>
      </c>
      <c r="AG22" s="15">
        <v>0.13546311452277474</v>
      </c>
      <c r="AH22" s="15">
        <v>0.50798667946040532</v>
      </c>
      <c r="AI22" s="304">
        <v>73.375853699836327</v>
      </c>
      <c r="AJ22" s="52"/>
    </row>
    <row r="23" spans="1:36">
      <c r="A23" s="269" t="s">
        <v>43</v>
      </c>
      <c r="B23" s="51">
        <v>91.685000000000002</v>
      </c>
      <c r="C23" s="135" t="s">
        <v>212</v>
      </c>
      <c r="D23" s="51">
        <v>49.068004580901999</v>
      </c>
      <c r="E23" s="55">
        <v>5010.7105851556953</v>
      </c>
      <c r="F23" s="244">
        <v>1.9196160767846431</v>
      </c>
      <c r="G23" s="29">
        <v>3.3920488629546814</v>
      </c>
      <c r="H23" s="29">
        <v>2.9994001199760048</v>
      </c>
      <c r="I23" s="29">
        <v>7.8856955881550963</v>
      </c>
      <c r="J23" s="29">
        <v>2.1377542673283525</v>
      </c>
      <c r="K23" s="29">
        <v>1.1561324098816601</v>
      </c>
      <c r="L23" s="29">
        <v>1.8541746196215301</v>
      </c>
      <c r="M23" s="29">
        <v>3.1957244914653433</v>
      </c>
      <c r="N23" s="29">
        <v>2.3340786388176911</v>
      </c>
      <c r="O23" s="29">
        <v>0.78529748595735394</v>
      </c>
      <c r="P23" s="29">
        <v>1.8868953482030866</v>
      </c>
      <c r="Q23" s="29">
        <v>2.9557724818672626</v>
      </c>
      <c r="R23" s="29">
        <v>1.9523368053661994</v>
      </c>
      <c r="S23" s="29">
        <v>2.0177782625293124</v>
      </c>
      <c r="T23" s="29">
        <v>1.4615258766428532</v>
      </c>
      <c r="U23" s="29">
        <v>2.3667993673992473</v>
      </c>
      <c r="V23" s="245">
        <f t="shared" si="0"/>
        <v>40.301030702950321</v>
      </c>
      <c r="W23" s="15">
        <v>0.56715929541364452</v>
      </c>
      <c r="X23" s="15">
        <v>0.22904510007089487</v>
      </c>
      <c r="Y23" s="54">
        <v>6.3</v>
      </c>
      <c r="Z23" s="54">
        <v>261.76582865245132</v>
      </c>
      <c r="AA23" s="15">
        <v>0.59988002399520102</v>
      </c>
      <c r="AB23" s="15">
        <v>67.622839068549922</v>
      </c>
      <c r="AC23" s="67" t="s">
        <v>174</v>
      </c>
      <c r="AD23" s="54">
        <f>0.000327207285815564*10000</f>
        <v>3.27207285815564</v>
      </c>
      <c r="AE23" s="15">
        <v>1.4178982385341112</v>
      </c>
      <c r="AF23" s="15">
        <v>1.6360364290778207</v>
      </c>
      <c r="AG23" s="15">
        <v>1.0252494955554345E-2</v>
      </c>
      <c r="AH23" s="15">
        <v>1.0906909527185471</v>
      </c>
      <c r="AI23" s="304">
        <v>71.985602879424121</v>
      </c>
      <c r="AJ23" s="52"/>
    </row>
    <row r="24" spans="1:36">
      <c r="A24" s="269" t="s">
        <v>51</v>
      </c>
      <c r="B24" s="51">
        <v>93.87</v>
      </c>
      <c r="C24" s="135" t="s">
        <v>212</v>
      </c>
      <c r="D24" s="51">
        <v>27.535953978906996</v>
      </c>
      <c r="E24" s="55">
        <v>4455.0974752317034</v>
      </c>
      <c r="F24" s="244">
        <v>1.0525194417811867</v>
      </c>
      <c r="G24" s="29">
        <v>3.1895174177053369</v>
      </c>
      <c r="H24" s="29">
        <v>2.2010226909555768</v>
      </c>
      <c r="I24" s="29">
        <v>3.9011398742942363</v>
      </c>
      <c r="J24" s="29">
        <v>1.3976776392883774</v>
      </c>
      <c r="K24" s="29">
        <v>0.52732502396931924</v>
      </c>
      <c r="L24" s="29">
        <v>1.1558538404175986</v>
      </c>
      <c r="M24" s="29">
        <v>1.5480984340044741</v>
      </c>
      <c r="N24" s="29">
        <v>0.91403004154681999</v>
      </c>
      <c r="O24" s="29">
        <v>0.38990092681367844</v>
      </c>
      <c r="P24" s="29">
        <v>1.255992329817833</v>
      </c>
      <c r="Q24" s="29">
        <v>0.87994034302759117</v>
      </c>
      <c r="R24" s="29">
        <v>1.1377436880792584</v>
      </c>
      <c r="S24" s="29">
        <v>0.99925428784489168</v>
      </c>
      <c r="T24" s="29">
        <v>0.76808351976137201</v>
      </c>
      <c r="U24" s="29">
        <v>1.3358900607222755</v>
      </c>
      <c r="V24" s="245">
        <f t="shared" si="0"/>
        <v>22.653989560029824</v>
      </c>
      <c r="W24" s="15">
        <v>0.21306061574517948</v>
      </c>
      <c r="X24" s="15">
        <v>0.1597954618088846</v>
      </c>
      <c r="Y24" s="54">
        <v>12.8</v>
      </c>
      <c r="Z24" s="54">
        <v>59.656972408650248</v>
      </c>
      <c r="AA24" s="15">
        <v>0.39416213912858206</v>
      </c>
      <c r="AB24" s="15">
        <v>34.089698519228719</v>
      </c>
      <c r="AC24" s="27" t="s">
        <v>174</v>
      </c>
      <c r="AD24" s="27" t="s">
        <v>174</v>
      </c>
      <c r="AE24" s="15">
        <v>0.59656972408650266</v>
      </c>
      <c r="AF24" s="15">
        <v>0.73505912432086928</v>
      </c>
      <c r="AG24" s="15">
        <v>5.0069244700117185E-2</v>
      </c>
      <c r="AH24" s="15">
        <v>0.27697880046873335</v>
      </c>
      <c r="AI24" s="304">
        <v>45.808032385213593</v>
      </c>
      <c r="AJ24" s="52"/>
    </row>
    <row r="25" spans="1:36">
      <c r="A25" s="269" t="s">
        <v>44</v>
      </c>
      <c r="B25" s="51">
        <v>92.435000000000002</v>
      </c>
      <c r="C25" s="135" t="s">
        <v>212</v>
      </c>
      <c r="D25" s="51">
        <v>17.387353275274517</v>
      </c>
      <c r="E25" s="55">
        <v>5409.3254719532642</v>
      </c>
      <c r="F25" s="244">
        <v>0.90009195650997997</v>
      </c>
      <c r="G25" s="29">
        <v>1.6433169254070428</v>
      </c>
      <c r="H25" s="29">
        <v>1.2441174879645156</v>
      </c>
      <c r="I25" s="29">
        <v>1.8001839130199599</v>
      </c>
      <c r="J25" s="29">
        <v>0.79731703359117212</v>
      </c>
      <c r="K25" s="29">
        <v>0.41326337426299564</v>
      </c>
      <c r="L25" s="29">
        <v>0.59176718775355663</v>
      </c>
      <c r="M25" s="29">
        <v>1.1435062476334721</v>
      </c>
      <c r="N25" s="29">
        <v>0.68264185643966035</v>
      </c>
      <c r="O25" s="29">
        <v>0.2412506085357278</v>
      </c>
      <c r="P25" s="29">
        <v>0.73997944501541624</v>
      </c>
      <c r="Q25" s="29">
        <v>0.63179531562719748</v>
      </c>
      <c r="R25" s="29">
        <v>0.72699734948882999</v>
      </c>
      <c r="S25" s="29">
        <v>0.6220587439822578</v>
      </c>
      <c r="T25" s="29">
        <v>0.63395899821496182</v>
      </c>
      <c r="U25" s="29">
        <v>0.90982852815491966</v>
      </c>
      <c r="V25" s="245">
        <f t="shared" si="0"/>
        <v>13.722074971601666</v>
      </c>
      <c r="W25" s="15">
        <v>3.6782603991994374</v>
      </c>
      <c r="X25" s="15">
        <v>0.17309460702114995</v>
      </c>
      <c r="Y25" s="54">
        <v>13</v>
      </c>
      <c r="Z25" s="54">
        <v>248.8234975929031</v>
      </c>
      <c r="AA25" s="15">
        <v>0.91956509979985934</v>
      </c>
      <c r="AB25" s="15">
        <v>432.73651755287494</v>
      </c>
      <c r="AC25" s="27" t="s">
        <v>174</v>
      </c>
      <c r="AD25" s="27" t="s">
        <v>174</v>
      </c>
      <c r="AE25" s="15">
        <v>2.0554984583761562</v>
      </c>
      <c r="AF25" s="15">
        <v>0.98447557743279057</v>
      </c>
      <c r="AG25" s="15">
        <v>8.8710986098339377E-3</v>
      </c>
      <c r="AH25" s="15">
        <v>0.19473143289879374</v>
      </c>
      <c r="AI25" s="304">
        <v>140.63936820468436</v>
      </c>
      <c r="AJ25" s="52"/>
    </row>
    <row r="26" spans="1:36">
      <c r="A26" s="269" t="s">
        <v>52</v>
      </c>
      <c r="B26" s="51">
        <v>88.87</v>
      </c>
      <c r="C26" s="135" t="s">
        <v>212</v>
      </c>
      <c r="D26" s="51">
        <v>20.743783053898952</v>
      </c>
      <c r="E26" s="55">
        <v>4684.9330482727573</v>
      </c>
      <c r="F26" s="244">
        <v>0.78316642286485871</v>
      </c>
      <c r="G26" s="29">
        <v>1.412175087206031</v>
      </c>
      <c r="H26" s="29">
        <v>1.2512658940024757</v>
      </c>
      <c r="I26" s="29">
        <v>3.0741532575672332</v>
      </c>
      <c r="J26" s="29">
        <v>0.87431079104309661</v>
      </c>
      <c r="K26" s="29">
        <v>0.45572184089118939</v>
      </c>
      <c r="L26" s="29">
        <v>0.60200292562169466</v>
      </c>
      <c r="M26" s="29">
        <v>1.1252391133115787</v>
      </c>
      <c r="N26" s="29">
        <v>0.65939012040058509</v>
      </c>
      <c r="O26" s="29">
        <v>0.19804208394283784</v>
      </c>
      <c r="P26" s="29">
        <v>0.76291211882525034</v>
      </c>
      <c r="Q26" s="29">
        <v>1.1094857657252166</v>
      </c>
      <c r="R26" s="29">
        <v>0.67964442444019346</v>
      </c>
      <c r="S26" s="29">
        <v>0.59412625182851353</v>
      </c>
      <c r="T26" s="29">
        <v>0.57049623044897035</v>
      </c>
      <c r="U26" s="29">
        <v>0.85855744345673457</v>
      </c>
      <c r="V26" s="245">
        <f t="shared" si="0"/>
        <v>15.010689771576457</v>
      </c>
      <c r="W26" s="15">
        <v>0.10689771576459997</v>
      </c>
      <c r="X26" s="27" t="s">
        <v>174</v>
      </c>
      <c r="Y26" s="54">
        <v>12.4</v>
      </c>
      <c r="Z26" s="54">
        <v>72.015303251941035</v>
      </c>
      <c r="AA26" s="15">
        <v>0.48385281872397884</v>
      </c>
      <c r="AB26" s="15">
        <v>168.78586699673681</v>
      </c>
      <c r="AC26" s="27" t="s">
        <v>174</v>
      </c>
      <c r="AD26" s="27" t="s">
        <v>174</v>
      </c>
      <c r="AE26" s="15">
        <v>1.3502869359738945</v>
      </c>
      <c r="AF26" s="15">
        <v>1.3502869359738945</v>
      </c>
      <c r="AG26" s="15">
        <v>1.1252391133115786E-2</v>
      </c>
      <c r="AH26" s="15">
        <v>0.22504782266231574</v>
      </c>
      <c r="AI26" s="304">
        <v>92.269607291549463</v>
      </c>
      <c r="AJ26" s="52"/>
    </row>
    <row r="27" spans="1:36">
      <c r="A27" s="269" t="s">
        <v>53</v>
      </c>
      <c r="B27" s="51">
        <v>88.754999999999995</v>
      </c>
      <c r="C27" s="135" t="s">
        <v>212</v>
      </c>
      <c r="D27" s="51">
        <v>21.18979212438736</v>
      </c>
      <c r="E27" s="55">
        <v>4838.2739000619686</v>
      </c>
      <c r="F27" s="244">
        <v>0.81009520590389272</v>
      </c>
      <c r="G27" s="29">
        <v>1.4489324545096052</v>
      </c>
      <c r="H27" s="29">
        <v>1.2675342234240325</v>
      </c>
      <c r="I27" s="29">
        <v>3.0454622274801419</v>
      </c>
      <c r="J27" s="29">
        <v>0.88333051659061468</v>
      </c>
      <c r="K27" s="29">
        <v>0.46081910878260379</v>
      </c>
      <c r="L27" s="29">
        <v>0.58926257675623916</v>
      </c>
      <c r="M27" s="29">
        <v>1.1052898428257563</v>
      </c>
      <c r="N27" s="29">
        <v>0.68052504084276944</v>
      </c>
      <c r="O27" s="29">
        <v>0.1644977747732522</v>
      </c>
      <c r="P27" s="29">
        <v>0.71770604472987443</v>
      </c>
      <c r="Q27" s="29">
        <v>1.0726156272886034</v>
      </c>
      <c r="R27" s="29">
        <v>0.66249788744296101</v>
      </c>
      <c r="S27" s="29">
        <v>0.58475578840628706</v>
      </c>
      <c r="T27" s="29">
        <v>0.53518111655681366</v>
      </c>
      <c r="U27" s="29">
        <v>0.85741648357838995</v>
      </c>
      <c r="V27" s="245">
        <f t="shared" si="0"/>
        <v>14.885921919891839</v>
      </c>
      <c r="W27" s="15">
        <v>0.11266970874880289</v>
      </c>
      <c r="X27" s="27" t="s">
        <v>174</v>
      </c>
      <c r="Y27" s="54">
        <v>12.4</v>
      </c>
      <c r="Z27" s="54">
        <v>65.34843107430568</v>
      </c>
      <c r="AA27" s="15">
        <v>0.40561095149569043</v>
      </c>
      <c r="AB27" s="15">
        <v>135.20365049856346</v>
      </c>
      <c r="AC27" s="27" t="s">
        <v>174</v>
      </c>
      <c r="AD27" s="27" t="s">
        <v>174</v>
      </c>
      <c r="AE27" s="15">
        <v>1.0365613204889865</v>
      </c>
      <c r="AF27" s="15">
        <v>1.239366796236832</v>
      </c>
      <c r="AG27" s="15">
        <v>9.238916117401838E-3</v>
      </c>
      <c r="AH27" s="15">
        <v>0.22533941749760578</v>
      </c>
      <c r="AI27" s="304">
        <v>78.868796124162017</v>
      </c>
      <c r="AJ27" s="52"/>
    </row>
    <row r="28" spans="1:36">
      <c r="A28" s="273" t="s">
        <v>182</v>
      </c>
      <c r="B28" s="51">
        <v>91.525000000000006</v>
      </c>
      <c r="C28" s="135" t="s">
        <v>212</v>
      </c>
      <c r="D28" s="51">
        <v>21.513247746517347</v>
      </c>
      <c r="E28" s="55">
        <v>4685.605025949194</v>
      </c>
      <c r="F28" s="244">
        <v>0.9068560502594919</v>
      </c>
      <c r="G28" s="29">
        <v>1.2422835290904124</v>
      </c>
      <c r="H28" s="29">
        <v>1.338432122370937</v>
      </c>
      <c r="I28" s="29">
        <v>4.6042065009560238</v>
      </c>
      <c r="J28" s="29">
        <v>0.74842939087680971</v>
      </c>
      <c r="K28" s="29">
        <v>0.45670581808249111</v>
      </c>
      <c r="L28" s="29">
        <v>0.8292816170445233</v>
      </c>
      <c r="M28" s="29">
        <v>1.6989893471729034</v>
      </c>
      <c r="N28" s="29">
        <v>0.67741054356733132</v>
      </c>
      <c r="O28" s="29">
        <v>0.33214968587817534</v>
      </c>
      <c r="P28" s="29">
        <v>1.1974870254028955</v>
      </c>
      <c r="Q28" s="29">
        <v>2.1906582900846763</v>
      </c>
      <c r="R28" s="29">
        <v>0.75389237913138485</v>
      </c>
      <c r="S28" s="29">
        <v>0.71346626604752805</v>
      </c>
      <c r="T28" s="29">
        <v>0.79213329691341161</v>
      </c>
      <c r="U28" s="29">
        <v>1.080579076754985</v>
      </c>
      <c r="V28" s="245">
        <f t="shared" si="0"/>
        <v>19.562960939633989</v>
      </c>
      <c r="W28" s="15">
        <v>7.320404261130839E-2</v>
      </c>
      <c r="X28" s="67" t="s">
        <v>174</v>
      </c>
      <c r="Y28" s="54">
        <v>6.3</v>
      </c>
      <c r="Z28" s="54">
        <v>152.96367112810708</v>
      </c>
      <c r="AA28" s="15">
        <v>0.17481562414640808</v>
      </c>
      <c r="AB28" s="15">
        <v>17.481562414640809</v>
      </c>
      <c r="AC28" s="67" t="s">
        <v>174</v>
      </c>
      <c r="AD28" s="67" t="s">
        <v>174</v>
      </c>
      <c r="AE28" s="15">
        <v>0.55722480196667579</v>
      </c>
      <c r="AF28" s="15">
        <v>0.6118546845124283</v>
      </c>
      <c r="AG28" s="15">
        <v>1.4203769461895657E-2</v>
      </c>
      <c r="AH28" s="15">
        <v>0.2403714832013111</v>
      </c>
      <c r="AI28" s="304">
        <v>31.685331876536459</v>
      </c>
      <c r="AJ28" s="52"/>
    </row>
    <row r="29" spans="1:36">
      <c r="A29" s="269" t="s">
        <v>54</v>
      </c>
      <c r="B29" s="51">
        <v>90.29</v>
      </c>
      <c r="C29" s="135" t="s">
        <v>212</v>
      </c>
      <c r="D29" s="51">
        <v>16.577694096799203</v>
      </c>
      <c r="E29" s="55">
        <v>4663.650459630082</v>
      </c>
      <c r="F29" s="244">
        <v>0.48842618230147306</v>
      </c>
      <c r="G29" s="29">
        <v>0.87606600952486446</v>
      </c>
      <c r="H29" s="29">
        <v>0.88160372134234144</v>
      </c>
      <c r="I29" s="29">
        <v>3.7268800531620339</v>
      </c>
      <c r="J29" s="29">
        <v>0.54269575811274784</v>
      </c>
      <c r="K29" s="29">
        <v>0.32229482777716251</v>
      </c>
      <c r="L29" s="29">
        <v>0.52719016502381222</v>
      </c>
      <c r="M29" s="29">
        <v>0.97131465278546913</v>
      </c>
      <c r="N29" s="29">
        <v>0.38320965776940968</v>
      </c>
      <c r="O29" s="29">
        <v>0.20046516779266807</v>
      </c>
      <c r="P29" s="29">
        <v>0.70882711263705844</v>
      </c>
      <c r="Q29" s="29">
        <v>1.300254734743604</v>
      </c>
      <c r="R29" s="29">
        <v>0.50836194484439035</v>
      </c>
      <c r="S29" s="29">
        <v>0.40757558976630859</v>
      </c>
      <c r="T29" s="29">
        <v>0.46073762321408795</v>
      </c>
      <c r="U29" s="29">
        <v>0.66231033337025147</v>
      </c>
      <c r="V29" s="245">
        <f t="shared" si="0"/>
        <v>12.968213534167683</v>
      </c>
      <c r="W29" s="15">
        <v>8.1958134898659857E-2</v>
      </c>
      <c r="X29" s="27" t="s">
        <v>174</v>
      </c>
      <c r="Y29" s="54">
        <v>6.8</v>
      </c>
      <c r="Z29" s="54">
        <v>48.731863993797759</v>
      </c>
      <c r="AA29" s="15">
        <v>0.16613135452431055</v>
      </c>
      <c r="AB29" s="15">
        <v>60.914829992247192</v>
      </c>
      <c r="AC29" s="27" t="s">
        <v>174</v>
      </c>
      <c r="AD29" s="27" t="s">
        <v>174</v>
      </c>
      <c r="AE29" s="15">
        <v>0.46516779266806951</v>
      </c>
      <c r="AF29" s="15">
        <v>0.56484660538265585</v>
      </c>
      <c r="AG29" s="15" t="s">
        <v>174</v>
      </c>
      <c r="AH29" s="15">
        <v>0.18828220179421862</v>
      </c>
      <c r="AI29" s="304">
        <v>47.624321630302354</v>
      </c>
      <c r="AJ29" s="52"/>
    </row>
    <row r="30" spans="1:36">
      <c r="A30" s="273" t="s">
        <v>183</v>
      </c>
      <c r="B30" s="51">
        <v>86.885000000000005</v>
      </c>
      <c r="C30" s="135" t="s">
        <v>212</v>
      </c>
      <c r="D30" s="51">
        <v>13.190999597168672</v>
      </c>
      <c r="E30" s="55">
        <v>5501.260286585717</v>
      </c>
      <c r="F30" s="244">
        <v>0.31420843643897106</v>
      </c>
      <c r="G30" s="29">
        <v>0.46613339471715487</v>
      </c>
      <c r="H30" s="29">
        <v>0.45807676814179665</v>
      </c>
      <c r="I30" s="29">
        <v>3.3998964148011743</v>
      </c>
      <c r="J30" s="29">
        <v>0.36024630258387524</v>
      </c>
      <c r="K30" s="29">
        <v>0.21522702422742707</v>
      </c>
      <c r="L30" s="29">
        <v>0.39592564884617593</v>
      </c>
      <c r="M30" s="29">
        <v>0.73890775162571221</v>
      </c>
      <c r="N30" s="29">
        <v>0.2221327041491627</v>
      </c>
      <c r="O30" s="29">
        <v>0.15652874489267424</v>
      </c>
      <c r="P30" s="29">
        <v>0.53058640732002071</v>
      </c>
      <c r="Q30" s="29">
        <v>1.1474938136617368</v>
      </c>
      <c r="R30" s="29">
        <v>0.49145422109685216</v>
      </c>
      <c r="S30" s="29">
        <v>0.3050008632099902</v>
      </c>
      <c r="T30" s="29">
        <v>0.34873683604764916</v>
      </c>
      <c r="U30" s="29">
        <v>0.4638315014099097</v>
      </c>
      <c r="V30" s="245">
        <f t="shared" si="0"/>
        <v>10.014386833170283</v>
      </c>
      <c r="W30" s="15">
        <v>2.7622719686942507E-2</v>
      </c>
      <c r="X30" s="27" t="s">
        <v>174</v>
      </c>
      <c r="Y30" s="54">
        <v>2</v>
      </c>
      <c r="Z30" s="54">
        <v>48.339759452149394</v>
      </c>
      <c r="AA30" s="15">
        <v>3.5679346262300744E-2</v>
      </c>
      <c r="AB30" s="15">
        <v>8.4019105714450131</v>
      </c>
      <c r="AC30" s="27" t="s">
        <v>174</v>
      </c>
      <c r="AD30" s="27" t="s">
        <v>174</v>
      </c>
      <c r="AE30" s="15">
        <v>0.13811359843471255</v>
      </c>
      <c r="AF30" s="15">
        <v>0.17264199804339067</v>
      </c>
      <c r="AG30" s="15" t="s">
        <v>174</v>
      </c>
      <c r="AH30" s="15">
        <v>0.16113253150716467</v>
      </c>
      <c r="AI30" s="304">
        <v>8.7471945675317944</v>
      </c>
      <c r="AJ30" s="52"/>
    </row>
    <row r="31" spans="1:36">
      <c r="A31" s="269" t="s">
        <v>55</v>
      </c>
      <c r="B31" s="51">
        <v>88.64</v>
      </c>
      <c r="C31" s="135" t="s">
        <v>212</v>
      </c>
      <c r="D31" s="51">
        <v>10.685920577617328</v>
      </c>
      <c r="E31" s="55">
        <v>4811.4395306859205</v>
      </c>
      <c r="F31" s="244">
        <v>0.63064079422382679</v>
      </c>
      <c r="G31" s="29">
        <v>0.50203068592057765</v>
      </c>
      <c r="H31" s="29">
        <v>0.64417870036101077</v>
      </c>
      <c r="I31" s="29">
        <v>1.4587093862815885</v>
      </c>
      <c r="J31" s="29">
        <v>0.35198555956678701</v>
      </c>
      <c r="K31" s="29">
        <v>0.25496389891696752</v>
      </c>
      <c r="L31" s="29">
        <v>0.32265342960288806</v>
      </c>
      <c r="M31" s="29">
        <v>1.0356498194945849</v>
      </c>
      <c r="N31" s="29">
        <v>0.28542418772563177</v>
      </c>
      <c r="O31" s="29">
        <v>0.15004512635379064</v>
      </c>
      <c r="P31" s="29">
        <v>0.42982851985559567</v>
      </c>
      <c r="Q31" s="29">
        <v>0.74684115523465711</v>
      </c>
      <c r="R31" s="29">
        <v>0.38470216606498198</v>
      </c>
      <c r="S31" s="29">
        <v>0.33506317689530685</v>
      </c>
      <c r="T31" s="29">
        <v>0.29896209386281591</v>
      </c>
      <c r="U31" s="29">
        <v>0.45690433212996395</v>
      </c>
      <c r="V31" s="245">
        <f t="shared" si="0"/>
        <v>8.2885830324909744</v>
      </c>
      <c r="W31" s="15">
        <v>1.8050541516245487E-2</v>
      </c>
      <c r="X31" s="27" t="s">
        <v>174</v>
      </c>
      <c r="Y31" s="54">
        <v>2.6</v>
      </c>
      <c r="Z31" s="54">
        <v>40.613718411552341</v>
      </c>
      <c r="AA31" s="15">
        <v>0.11168772563176896</v>
      </c>
      <c r="AB31" s="15">
        <v>5.4151624548736459</v>
      </c>
      <c r="AC31" s="27" t="s">
        <v>174</v>
      </c>
      <c r="AD31" s="27" t="s">
        <v>174</v>
      </c>
      <c r="AE31" s="15">
        <v>0.3046028880866426</v>
      </c>
      <c r="AF31" s="15">
        <v>0.39485559566787004</v>
      </c>
      <c r="AG31" s="15" t="s">
        <v>174</v>
      </c>
      <c r="AH31" s="15">
        <v>0.11281588447653429</v>
      </c>
      <c r="AI31" s="304">
        <v>23.691335740072201</v>
      </c>
      <c r="AJ31" s="52"/>
    </row>
    <row r="32" spans="1:36">
      <c r="B32" s="8"/>
      <c r="C32" s="135"/>
      <c r="D32" s="8"/>
      <c r="E32" s="55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15"/>
      <c r="X32" s="15"/>
      <c r="Y32" s="54"/>
      <c r="Z32" s="27"/>
      <c r="AA32" s="27"/>
      <c r="AB32" s="15"/>
      <c r="AC32" s="15"/>
      <c r="AD32" s="54"/>
      <c r="AE32" s="54"/>
      <c r="AF32" s="15"/>
      <c r="AG32" s="15"/>
      <c r="AH32" s="15"/>
      <c r="AI32" s="15"/>
    </row>
    <row r="33" spans="1:125" s="252" customFormat="1">
      <c r="A33" s="335" t="s">
        <v>242</v>
      </c>
      <c r="B33" s="12">
        <v>93.2</v>
      </c>
      <c r="C33" s="12"/>
      <c r="D33" s="12">
        <v>46.3</v>
      </c>
      <c r="E33" s="58">
        <v>5097</v>
      </c>
      <c r="F33" s="12">
        <v>2.4300000000000002</v>
      </c>
      <c r="G33" s="12">
        <v>2.08</v>
      </c>
      <c r="H33" s="12">
        <v>3.52</v>
      </c>
      <c r="I33" s="12">
        <v>5.79</v>
      </c>
      <c r="J33" s="12">
        <v>2.3199999999999998</v>
      </c>
      <c r="K33" s="12">
        <v>0.89</v>
      </c>
      <c r="L33" s="12">
        <v>1.04</v>
      </c>
      <c r="M33" s="12">
        <v>2.65</v>
      </c>
      <c r="N33" s="12">
        <v>2.5299999999999998</v>
      </c>
      <c r="O33" s="12">
        <v>1.23</v>
      </c>
      <c r="P33" s="12">
        <v>1.62</v>
      </c>
      <c r="Q33" s="12"/>
      <c r="R33" s="12">
        <v>1.69</v>
      </c>
      <c r="S33" s="12">
        <v>1.56</v>
      </c>
      <c r="T33" s="12">
        <v>1.1200000000000001</v>
      </c>
      <c r="U33" s="12">
        <v>1.41</v>
      </c>
      <c r="V33" s="270">
        <f>SUM(F33:U33)</f>
        <v>31.880000000000003</v>
      </c>
      <c r="W33" s="18"/>
      <c r="X33" s="18"/>
      <c r="Y33" s="137"/>
      <c r="Z33" s="336"/>
      <c r="AA33" s="336"/>
      <c r="AB33" s="18"/>
      <c r="AC33" s="137"/>
      <c r="AD33" s="137"/>
      <c r="AE33" s="18">
        <v>1.82</v>
      </c>
      <c r="AF33" s="18"/>
      <c r="AG33" s="18"/>
      <c r="AH33" s="18"/>
      <c r="AI33" s="18"/>
      <c r="AK33" s="337"/>
      <c r="AL33" s="337"/>
      <c r="AM33" s="337"/>
      <c r="AN33" s="337"/>
      <c r="AO33" s="337"/>
      <c r="AP33" s="337"/>
      <c r="AQ33" s="337"/>
      <c r="AR33" s="337"/>
      <c r="AS33" s="337"/>
      <c r="AT33" s="337"/>
      <c r="AU33" s="337"/>
      <c r="AV33" s="337"/>
      <c r="AW33" s="337"/>
      <c r="AX33" s="337"/>
      <c r="AY33" s="337"/>
      <c r="AZ33" s="337"/>
      <c r="BA33" s="337"/>
      <c r="BB33" s="337"/>
      <c r="BC33" s="337"/>
      <c r="BD33" s="337"/>
      <c r="BE33" s="337"/>
      <c r="BF33" s="337"/>
      <c r="BG33" s="337"/>
      <c r="BH33" s="337"/>
      <c r="BI33" s="337"/>
      <c r="BJ33" s="337"/>
      <c r="BK33" s="337"/>
      <c r="BL33" s="337"/>
      <c r="BM33" s="337"/>
      <c r="BN33" s="337"/>
      <c r="BO33" s="337"/>
      <c r="BP33" s="337"/>
      <c r="BQ33" s="337"/>
      <c r="BR33" s="337"/>
      <c r="BS33" s="337"/>
      <c r="BT33" s="337"/>
      <c r="BU33" s="337"/>
      <c r="BV33" s="337"/>
      <c r="BW33" s="337"/>
      <c r="BX33" s="337"/>
      <c r="BY33" s="337"/>
      <c r="BZ33" s="337"/>
      <c r="CA33" s="337"/>
      <c r="CB33" s="337"/>
      <c r="CC33" s="337"/>
      <c r="CD33" s="337"/>
      <c r="CE33" s="337"/>
      <c r="CF33" s="337"/>
      <c r="CG33" s="337"/>
      <c r="CH33" s="337"/>
      <c r="CI33" s="337"/>
      <c r="CJ33" s="337"/>
      <c r="CK33" s="337"/>
      <c r="CL33" s="337"/>
      <c r="CM33" s="337"/>
      <c r="CN33" s="337"/>
      <c r="CO33" s="337"/>
      <c r="CP33" s="337"/>
      <c r="CQ33" s="337"/>
      <c r="CR33" s="337"/>
      <c r="CS33" s="337"/>
      <c r="CT33" s="337"/>
      <c r="CU33" s="337"/>
      <c r="CV33" s="337"/>
      <c r="CW33" s="337"/>
      <c r="CX33" s="337"/>
      <c r="CY33" s="337"/>
      <c r="CZ33" s="337"/>
      <c r="DA33" s="337"/>
      <c r="DB33" s="337"/>
      <c r="DC33" s="337"/>
      <c r="DD33" s="337"/>
      <c r="DE33" s="337"/>
      <c r="DF33" s="337"/>
      <c r="DG33" s="337"/>
      <c r="DH33" s="337"/>
      <c r="DI33" s="337"/>
      <c r="DJ33" s="337"/>
      <c r="DK33" s="337"/>
      <c r="DL33" s="337"/>
      <c r="DM33" s="337"/>
      <c r="DN33" s="337"/>
      <c r="DO33" s="337"/>
      <c r="DP33" s="337"/>
      <c r="DQ33" s="337"/>
      <c r="DR33" s="337"/>
      <c r="DS33" s="337"/>
      <c r="DT33" s="337"/>
      <c r="DU33" s="337"/>
    </row>
    <row r="34" spans="1:125" s="252" customFormat="1">
      <c r="A34" s="3"/>
      <c r="B34" s="12"/>
      <c r="C34" s="12"/>
      <c r="D34" s="12"/>
      <c r="E34" s="58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73"/>
      <c r="W34" s="18"/>
      <c r="X34" s="18"/>
      <c r="Y34" s="137"/>
      <c r="Z34" s="336"/>
      <c r="AA34" s="336"/>
      <c r="AB34" s="18"/>
      <c r="AC34" s="137"/>
      <c r="AD34" s="137"/>
      <c r="AE34" s="18"/>
      <c r="AF34" s="18"/>
      <c r="AG34" s="18"/>
      <c r="AH34" s="18"/>
      <c r="AI34" s="18"/>
      <c r="AK34" s="337"/>
      <c r="AL34" s="337"/>
      <c r="AM34" s="337"/>
      <c r="AN34" s="337"/>
      <c r="AO34" s="337"/>
      <c r="AP34" s="337"/>
      <c r="AQ34" s="337"/>
      <c r="AR34" s="337"/>
      <c r="AS34" s="337"/>
      <c r="AT34" s="337"/>
      <c r="AU34" s="337"/>
      <c r="AV34" s="337"/>
      <c r="AW34" s="337"/>
      <c r="AX34" s="337"/>
      <c r="AY34" s="337"/>
      <c r="AZ34" s="337"/>
      <c r="BA34" s="337"/>
      <c r="BB34" s="337"/>
      <c r="BC34" s="337"/>
      <c r="BD34" s="337"/>
      <c r="BE34" s="337"/>
      <c r="BF34" s="337"/>
      <c r="BG34" s="337"/>
      <c r="BH34" s="337"/>
      <c r="BI34" s="337"/>
      <c r="BJ34" s="337"/>
      <c r="BK34" s="337"/>
      <c r="BL34" s="337"/>
      <c r="BM34" s="337"/>
      <c r="BN34" s="337"/>
      <c r="BO34" s="337"/>
      <c r="BP34" s="337"/>
      <c r="BQ34" s="337"/>
      <c r="BR34" s="337"/>
      <c r="BS34" s="337"/>
      <c r="BT34" s="337"/>
      <c r="BU34" s="337"/>
      <c r="BV34" s="337"/>
      <c r="BW34" s="337"/>
      <c r="BX34" s="337"/>
      <c r="BY34" s="337"/>
      <c r="BZ34" s="337"/>
      <c r="CA34" s="337"/>
      <c r="CB34" s="337"/>
      <c r="CC34" s="337"/>
      <c r="CD34" s="337"/>
      <c r="CE34" s="337"/>
      <c r="CF34" s="337"/>
      <c r="CG34" s="337"/>
      <c r="CH34" s="337"/>
      <c r="CI34" s="337"/>
      <c r="CJ34" s="337"/>
      <c r="CK34" s="337"/>
      <c r="CL34" s="337"/>
      <c r="CM34" s="337"/>
      <c r="CN34" s="337"/>
      <c r="CO34" s="337"/>
      <c r="CP34" s="337"/>
      <c r="CQ34" s="337"/>
      <c r="CR34" s="337"/>
      <c r="CS34" s="337"/>
      <c r="CT34" s="337"/>
      <c r="CU34" s="337"/>
      <c r="CV34" s="337"/>
      <c r="CW34" s="337"/>
      <c r="CX34" s="337"/>
      <c r="CY34" s="337"/>
      <c r="CZ34" s="337"/>
      <c r="DA34" s="337"/>
      <c r="DB34" s="337"/>
      <c r="DC34" s="337"/>
      <c r="DD34" s="337"/>
      <c r="DE34" s="337"/>
      <c r="DF34" s="337"/>
      <c r="DG34" s="337"/>
      <c r="DH34" s="337"/>
      <c r="DI34" s="337"/>
      <c r="DJ34" s="337"/>
      <c r="DK34" s="337"/>
      <c r="DL34" s="337"/>
      <c r="DM34" s="337"/>
      <c r="DN34" s="337"/>
      <c r="DO34" s="337"/>
      <c r="DP34" s="337"/>
      <c r="DQ34" s="337"/>
      <c r="DR34" s="337"/>
      <c r="DS34" s="337"/>
      <c r="DT34" s="337"/>
      <c r="DU34" s="337"/>
    </row>
    <row r="35" spans="1:125" ht="18.75">
      <c r="B35" s="91"/>
      <c r="C35" s="105" t="s">
        <v>173</v>
      </c>
      <c r="D35" s="91"/>
      <c r="E35" s="91"/>
      <c r="F35" s="259"/>
      <c r="G35" s="260"/>
      <c r="H35" s="260"/>
      <c r="I35" s="261"/>
      <c r="J35" s="260"/>
      <c r="K35" s="260"/>
      <c r="L35" s="260"/>
      <c r="M35" s="262" t="s">
        <v>172</v>
      </c>
      <c r="N35" s="260"/>
      <c r="O35" s="260"/>
      <c r="P35" s="260"/>
      <c r="Q35" s="260"/>
      <c r="R35" s="260"/>
      <c r="S35" s="260"/>
      <c r="T35" s="260"/>
      <c r="U35" s="260"/>
      <c r="V35" s="263"/>
      <c r="W35" s="95"/>
      <c r="X35" s="95"/>
      <c r="Y35" s="95"/>
      <c r="Z35" s="95"/>
      <c r="AA35" s="107" t="s">
        <v>175</v>
      </c>
      <c r="AB35" s="95"/>
      <c r="AC35" s="95"/>
      <c r="AD35" s="95"/>
      <c r="AE35" s="95"/>
      <c r="AF35" s="95"/>
      <c r="AG35" s="95"/>
      <c r="AH35" s="95"/>
      <c r="AI35" s="300"/>
      <c r="AJ35" s="115" t="s">
        <v>247</v>
      </c>
      <c r="AK35" s="360"/>
      <c r="AL35" s="361"/>
    </row>
    <row r="36" spans="1:125">
      <c r="B36" s="91"/>
      <c r="C36" s="92" t="s">
        <v>39</v>
      </c>
      <c r="D36" s="91"/>
      <c r="E36" s="91"/>
      <c r="F36" s="259"/>
      <c r="G36" s="260"/>
      <c r="H36" s="260"/>
      <c r="I36" s="261"/>
      <c r="J36" s="260"/>
      <c r="K36" s="260"/>
      <c r="L36" s="260"/>
      <c r="M36" s="264" t="s">
        <v>179</v>
      </c>
      <c r="N36" s="260"/>
      <c r="O36" s="260"/>
      <c r="P36" s="260"/>
      <c r="Q36" s="260"/>
      <c r="R36" s="260"/>
      <c r="S36" s="260"/>
      <c r="T36" s="260"/>
      <c r="U36" s="260"/>
      <c r="V36" s="263"/>
      <c r="W36" s="95"/>
      <c r="X36" s="95"/>
      <c r="Y36" s="95"/>
      <c r="Z36" s="95"/>
      <c r="AA36" s="123" t="s">
        <v>179</v>
      </c>
      <c r="AB36" s="95"/>
      <c r="AC36" s="95"/>
      <c r="AD36" s="95"/>
      <c r="AE36" s="95"/>
      <c r="AF36" s="95"/>
      <c r="AG36" s="95"/>
      <c r="AH36" s="95"/>
      <c r="AI36" s="300"/>
      <c r="AJ36" s="357"/>
      <c r="AK36" s="357" t="s">
        <v>179</v>
      </c>
      <c r="AL36" s="358"/>
    </row>
    <row r="37" spans="1:125">
      <c r="B37" s="119" t="s">
        <v>0</v>
      </c>
      <c r="C37" s="119" t="s">
        <v>1</v>
      </c>
      <c r="D37" s="119" t="s">
        <v>2</v>
      </c>
      <c r="E37" s="119" t="s">
        <v>3</v>
      </c>
      <c r="F37" s="316" t="s">
        <v>18</v>
      </c>
      <c r="G37" s="120" t="s">
        <v>19</v>
      </c>
      <c r="H37" s="120" t="s">
        <v>20</v>
      </c>
      <c r="I37" s="120" t="s">
        <v>21</v>
      </c>
      <c r="J37" s="120" t="s">
        <v>22</v>
      </c>
      <c r="K37" s="120" t="s">
        <v>23</v>
      </c>
      <c r="L37" s="120" t="s">
        <v>24</v>
      </c>
      <c r="M37" s="120" t="s">
        <v>25</v>
      </c>
      <c r="N37" s="120" t="s">
        <v>26</v>
      </c>
      <c r="O37" s="120" t="s">
        <v>27</v>
      </c>
      <c r="P37" s="120" t="s">
        <v>28</v>
      </c>
      <c r="Q37" s="120" t="s">
        <v>29</v>
      </c>
      <c r="R37" s="120" t="s">
        <v>30</v>
      </c>
      <c r="S37" s="120" t="s">
        <v>31</v>
      </c>
      <c r="T37" s="120" t="s">
        <v>32</v>
      </c>
      <c r="U37" s="120" t="s">
        <v>33</v>
      </c>
      <c r="V37" s="318" t="s">
        <v>17</v>
      </c>
      <c r="W37" s="121" t="s">
        <v>4</v>
      </c>
      <c r="X37" s="121" t="s">
        <v>5</v>
      </c>
      <c r="Y37" s="121" t="s">
        <v>6</v>
      </c>
      <c r="Z37" s="122" t="s">
        <v>7</v>
      </c>
      <c r="AA37" s="121" t="s">
        <v>8</v>
      </c>
      <c r="AB37" s="121" t="s">
        <v>9</v>
      </c>
      <c r="AC37" s="121" t="s">
        <v>10</v>
      </c>
      <c r="AD37" s="121" t="s">
        <v>11</v>
      </c>
      <c r="AE37" s="121" t="s">
        <v>12</v>
      </c>
      <c r="AF37" s="121" t="s">
        <v>13</v>
      </c>
      <c r="AG37" s="121" t="s">
        <v>14</v>
      </c>
      <c r="AH37" s="121" t="s">
        <v>15</v>
      </c>
      <c r="AI37" s="220" t="s">
        <v>16</v>
      </c>
      <c r="AJ37" s="359" t="s">
        <v>95</v>
      </c>
      <c r="AK37" s="359" t="s">
        <v>96</v>
      </c>
      <c r="AL37" s="366" t="s">
        <v>97</v>
      </c>
    </row>
    <row r="38" spans="1:125" ht="13.5" thickBot="1">
      <c r="A38" s="35" t="s">
        <v>78</v>
      </c>
      <c r="B38" s="93" t="s">
        <v>93</v>
      </c>
      <c r="C38" s="93" t="s">
        <v>93</v>
      </c>
      <c r="D38" s="93" t="s">
        <v>93</v>
      </c>
      <c r="E38" s="93" t="s">
        <v>94</v>
      </c>
      <c r="F38" s="317" t="s">
        <v>93</v>
      </c>
      <c r="G38" s="94" t="s">
        <v>93</v>
      </c>
      <c r="H38" s="94" t="s">
        <v>93</v>
      </c>
      <c r="I38" s="94" t="s">
        <v>93</v>
      </c>
      <c r="J38" s="94" t="s">
        <v>93</v>
      </c>
      <c r="K38" s="94" t="s">
        <v>93</v>
      </c>
      <c r="L38" s="94" t="s">
        <v>93</v>
      </c>
      <c r="M38" s="94" t="s">
        <v>93</v>
      </c>
      <c r="N38" s="94" t="s">
        <v>93</v>
      </c>
      <c r="O38" s="94" t="s">
        <v>93</v>
      </c>
      <c r="P38" s="94" t="s">
        <v>93</v>
      </c>
      <c r="Q38" s="94" t="s">
        <v>93</v>
      </c>
      <c r="R38" s="94" t="s">
        <v>93</v>
      </c>
      <c r="S38" s="94" t="s">
        <v>93</v>
      </c>
      <c r="T38" s="94" t="s">
        <v>93</v>
      </c>
      <c r="U38" s="94" t="s">
        <v>93</v>
      </c>
      <c r="V38" s="319" t="s">
        <v>93</v>
      </c>
      <c r="W38" s="328" t="s">
        <v>93</v>
      </c>
      <c r="X38" s="329" t="s">
        <v>91</v>
      </c>
      <c r="Y38" s="330" t="s">
        <v>91</v>
      </c>
      <c r="Z38" s="331" t="s">
        <v>91</v>
      </c>
      <c r="AA38" s="330" t="s">
        <v>93</v>
      </c>
      <c r="AB38" s="330" t="s">
        <v>91</v>
      </c>
      <c r="AC38" s="330" t="s">
        <v>91</v>
      </c>
      <c r="AD38" s="330" t="s">
        <v>91</v>
      </c>
      <c r="AE38" s="330" t="s">
        <v>93</v>
      </c>
      <c r="AF38" s="330" t="s">
        <v>93</v>
      </c>
      <c r="AG38" s="330" t="s">
        <v>93</v>
      </c>
      <c r="AH38" s="330" t="s">
        <v>93</v>
      </c>
      <c r="AI38" s="332" t="s">
        <v>91</v>
      </c>
      <c r="AJ38" s="362" t="s">
        <v>93</v>
      </c>
      <c r="AK38" s="363" t="s">
        <v>93</v>
      </c>
      <c r="AL38" s="367" t="s">
        <v>93</v>
      </c>
    </row>
    <row r="39" spans="1:125">
      <c r="A39" s="274" t="s">
        <v>56</v>
      </c>
      <c r="B39" s="38">
        <v>92.371776140705123</v>
      </c>
      <c r="C39" s="135" t="s">
        <v>212</v>
      </c>
      <c r="D39" s="38">
        <v>15.823556296823227</v>
      </c>
      <c r="E39" s="85">
        <v>4400.857242159952</v>
      </c>
      <c r="F39" s="253">
        <v>0.5661902605438065</v>
      </c>
      <c r="G39" s="20">
        <v>0.80435824777064668</v>
      </c>
      <c r="H39" s="20">
        <v>0.83791828233442878</v>
      </c>
      <c r="I39" s="20">
        <v>3.0139076201796504</v>
      </c>
      <c r="J39" s="20">
        <v>0.53046506245978042</v>
      </c>
      <c r="K39" s="20">
        <v>0.29662740227342826</v>
      </c>
      <c r="L39" s="20">
        <v>0.4557669210113624</v>
      </c>
      <c r="M39" s="20">
        <v>0.90395576970187075</v>
      </c>
      <c r="N39" s="20">
        <v>0.49690502789599844</v>
      </c>
      <c r="O39" s="20">
        <v>0.15264402817720213</v>
      </c>
      <c r="P39" s="20">
        <v>0.70259556231917863</v>
      </c>
      <c r="Q39" s="20">
        <v>1.4474118132831153</v>
      </c>
      <c r="R39" s="20">
        <v>0.58675931398612458</v>
      </c>
      <c r="S39" s="20">
        <v>0.48607921029477841</v>
      </c>
      <c r="T39" s="20">
        <v>0.36499999999999999</v>
      </c>
      <c r="U39" s="20">
        <v>0.65900000000000003</v>
      </c>
      <c r="V39" s="268">
        <f>F39+G39+H39+I39+J39+K39+L39+M39+N39+O39+P39+Q39+R39+S39+U39+T39</f>
        <v>12.305584522231374</v>
      </c>
      <c r="W39" s="45" t="s">
        <v>212</v>
      </c>
      <c r="X39" s="45" t="s">
        <v>212</v>
      </c>
      <c r="Y39" s="45" t="s">
        <v>212</v>
      </c>
      <c r="Z39" s="45" t="s">
        <v>212</v>
      </c>
      <c r="AA39" s="45" t="s">
        <v>212</v>
      </c>
      <c r="AB39" s="45" t="s">
        <v>212</v>
      </c>
      <c r="AC39" s="45" t="s">
        <v>212</v>
      </c>
      <c r="AD39" s="45" t="s">
        <v>212</v>
      </c>
      <c r="AE39" s="246">
        <v>0.41138106884636039</v>
      </c>
      <c r="AF39" s="45" t="s">
        <v>212</v>
      </c>
      <c r="AG39" s="45" t="s">
        <v>212</v>
      </c>
      <c r="AH39" s="45" t="s">
        <v>212</v>
      </c>
      <c r="AI39" s="306" t="s">
        <v>212</v>
      </c>
      <c r="AJ39" s="364">
        <v>53.2</v>
      </c>
      <c r="AK39" s="365">
        <v>14.9</v>
      </c>
      <c r="AL39" s="368">
        <v>38.299999999999997</v>
      </c>
    </row>
    <row r="40" spans="1:125">
      <c r="A40" s="275" t="s">
        <v>57</v>
      </c>
      <c r="B40" s="38">
        <v>92.371776140705123</v>
      </c>
      <c r="C40" s="135" t="s">
        <v>212</v>
      </c>
      <c r="D40" s="38">
        <v>15.823556296823227</v>
      </c>
      <c r="E40" s="85">
        <v>4400.857242159952</v>
      </c>
      <c r="F40" s="253">
        <v>0.5661902605438065</v>
      </c>
      <c r="G40" s="20">
        <v>0.80435824777064668</v>
      </c>
      <c r="H40" s="20">
        <v>0.83791828233442878</v>
      </c>
      <c r="I40" s="20">
        <v>3.0139076201796504</v>
      </c>
      <c r="J40" s="20">
        <v>0.53046506245978042</v>
      </c>
      <c r="K40" s="20">
        <v>0.29662740227342826</v>
      </c>
      <c r="L40" s="20">
        <v>0.4557669210113624</v>
      </c>
      <c r="M40" s="20">
        <v>0.90395576970187075</v>
      </c>
      <c r="N40" s="20">
        <v>0.49690502789599844</v>
      </c>
      <c r="O40" s="20">
        <v>0.15264402817720213</v>
      </c>
      <c r="P40" s="20">
        <v>0.70259556231917863</v>
      </c>
      <c r="Q40" s="20">
        <v>1.4474118132831153</v>
      </c>
      <c r="R40" s="20">
        <v>0.58675931398612458</v>
      </c>
      <c r="S40" s="20">
        <v>0.48607921029477841</v>
      </c>
      <c r="T40" s="20">
        <v>0.36483005316111433</v>
      </c>
      <c r="U40" s="20">
        <v>0.65929229191429861</v>
      </c>
      <c r="V40" s="268">
        <f t="shared" ref="V40:V46" si="1">F40+G40+H40+I40+J40+K40+L40+M40+N40+O40+P40+Q40+R40+S40+T40+U40</f>
        <v>12.305706867306785</v>
      </c>
      <c r="W40" s="45" t="s">
        <v>212</v>
      </c>
      <c r="X40" s="45" t="s">
        <v>212</v>
      </c>
      <c r="Y40" s="45" t="s">
        <v>212</v>
      </c>
      <c r="Z40" s="45" t="s">
        <v>212</v>
      </c>
      <c r="AA40" s="45" t="s">
        <v>212</v>
      </c>
      <c r="AB40" s="45" t="s">
        <v>212</v>
      </c>
      <c r="AC40" s="45" t="s">
        <v>212</v>
      </c>
      <c r="AD40" s="45" t="s">
        <v>212</v>
      </c>
      <c r="AE40" s="20">
        <v>0.32331763129823488</v>
      </c>
      <c r="AF40" s="45" t="s">
        <v>212</v>
      </c>
      <c r="AG40" s="45" t="s">
        <v>212</v>
      </c>
      <c r="AH40" s="45" t="s">
        <v>212</v>
      </c>
      <c r="AI40" s="306" t="s">
        <v>212</v>
      </c>
      <c r="AJ40" s="364">
        <v>52</v>
      </c>
      <c r="AK40" s="365">
        <v>14.7</v>
      </c>
      <c r="AL40" s="368">
        <v>37.299999999999997</v>
      </c>
    </row>
    <row r="41" spans="1:125">
      <c r="A41" s="275" t="s">
        <v>58</v>
      </c>
      <c r="B41" s="38">
        <v>92.788011218377946</v>
      </c>
      <c r="C41" s="135" t="s">
        <v>212</v>
      </c>
      <c r="D41" s="38">
        <v>14.397334121710399</v>
      </c>
      <c r="E41" s="85">
        <v>4361.069869766241</v>
      </c>
      <c r="F41" s="253">
        <v>0.47312146713308367</v>
      </c>
      <c r="G41" s="20">
        <v>0.63262483190687957</v>
      </c>
      <c r="H41" s="20">
        <v>0.67788930028863248</v>
      </c>
      <c r="I41" s="20">
        <v>2.7244899064064594</v>
      </c>
      <c r="J41" s="20">
        <v>0.43001244962665242</v>
      </c>
      <c r="K41" s="20">
        <v>0.24141049803601539</v>
      </c>
      <c r="L41" s="20">
        <v>0.39768068649682886</v>
      </c>
      <c r="M41" s="20">
        <v>0.75764098267553037</v>
      </c>
      <c r="N41" s="20">
        <v>0.39229205930852495</v>
      </c>
      <c r="O41" s="20">
        <v>0.13256022883227631</v>
      </c>
      <c r="P41" s="20">
        <v>0.5992153433393953</v>
      </c>
      <c r="Q41" s="20">
        <v>1.2824932708163317</v>
      </c>
      <c r="R41" s="20">
        <v>0.50222005394992486</v>
      </c>
      <c r="S41" s="20">
        <v>0.39229205930852495</v>
      </c>
      <c r="T41" s="20">
        <v>0.3146958277969486</v>
      </c>
      <c r="U41" s="20">
        <v>0.57011675652255422</v>
      </c>
      <c r="V41" s="268">
        <f t="shared" si="1"/>
        <v>10.520755722444562</v>
      </c>
      <c r="W41" s="45" t="s">
        <v>212</v>
      </c>
      <c r="X41" s="45" t="s">
        <v>212</v>
      </c>
      <c r="Y41" s="45" t="s">
        <v>212</v>
      </c>
      <c r="Z41" s="45" t="s">
        <v>212</v>
      </c>
      <c r="AA41" s="45" t="s">
        <v>212</v>
      </c>
      <c r="AB41" s="45" t="s">
        <v>212</v>
      </c>
      <c r="AC41" s="45" t="s">
        <v>212</v>
      </c>
      <c r="AD41" s="45" t="s">
        <v>212</v>
      </c>
      <c r="AE41" s="20">
        <v>0.34582489874348699</v>
      </c>
      <c r="AF41" s="45" t="s">
        <v>212</v>
      </c>
      <c r="AG41" s="45" t="s">
        <v>212</v>
      </c>
      <c r="AH41" s="45" t="s">
        <v>212</v>
      </c>
      <c r="AI41" s="306" t="s">
        <v>212</v>
      </c>
      <c r="AJ41" s="364">
        <v>59.4</v>
      </c>
      <c r="AK41" s="365">
        <v>16.8</v>
      </c>
      <c r="AL41" s="368">
        <v>42.6</v>
      </c>
    </row>
    <row r="42" spans="1:125">
      <c r="A42" s="275" t="s">
        <v>184</v>
      </c>
      <c r="B42" s="38">
        <v>92.532377270312622</v>
      </c>
      <c r="C42" s="135" t="s">
        <v>212</v>
      </c>
      <c r="D42" s="38">
        <v>12.48265779042702</v>
      </c>
      <c r="E42" s="85">
        <v>4357.1235484657927</v>
      </c>
      <c r="F42" s="253">
        <v>0.45821799083512021</v>
      </c>
      <c r="G42" s="20">
        <v>0.58682162505535451</v>
      </c>
      <c r="H42" s="20">
        <v>0.64842168514403808</v>
      </c>
      <c r="I42" s="20">
        <v>2.1592442115296469</v>
      </c>
      <c r="J42" s="20">
        <v>0.4128284728750376</v>
      </c>
      <c r="K42" s="20">
        <v>0.22370548137469312</v>
      </c>
      <c r="L42" s="20">
        <v>0.34582489874348699</v>
      </c>
      <c r="M42" s="20">
        <v>0.67651995816694643</v>
      </c>
      <c r="N42" s="20">
        <v>0.38581090266070261</v>
      </c>
      <c r="O42" s="20">
        <v>0.11995801175164705</v>
      </c>
      <c r="P42" s="20">
        <v>0.48955837228374877</v>
      </c>
      <c r="Q42" s="20">
        <v>0.97155182490748371</v>
      </c>
      <c r="R42" s="20">
        <v>0.46470220768656062</v>
      </c>
      <c r="S42" s="20">
        <v>0.38256879423498247</v>
      </c>
      <c r="T42" s="20">
        <v>0.27557921618621617</v>
      </c>
      <c r="U42" s="20">
        <v>0.50252680598662958</v>
      </c>
      <c r="V42" s="268">
        <f t="shared" si="1"/>
        <v>9.1038404594222939</v>
      </c>
      <c r="W42" s="45" t="s">
        <v>212</v>
      </c>
      <c r="X42" s="45" t="s">
        <v>212</v>
      </c>
      <c r="Y42" s="45" t="s">
        <v>212</v>
      </c>
      <c r="Z42" s="45" t="s">
        <v>212</v>
      </c>
      <c r="AA42" s="45" t="s">
        <v>212</v>
      </c>
      <c r="AB42" s="45" t="s">
        <v>212</v>
      </c>
      <c r="AC42" s="45" t="s">
        <v>212</v>
      </c>
      <c r="AD42" s="45" t="s">
        <v>212</v>
      </c>
      <c r="AE42" s="20">
        <v>0.37882950939808269</v>
      </c>
      <c r="AF42" s="45" t="s">
        <v>212</v>
      </c>
      <c r="AG42" s="45" t="s">
        <v>212</v>
      </c>
      <c r="AH42" s="45" t="s">
        <v>212</v>
      </c>
      <c r="AI42" s="306" t="s">
        <v>212</v>
      </c>
      <c r="AJ42" s="364">
        <v>57.7</v>
      </c>
      <c r="AK42" s="10">
        <v>15.1</v>
      </c>
      <c r="AL42" s="369">
        <v>42.6</v>
      </c>
    </row>
    <row r="43" spans="1:125">
      <c r="A43" s="275" t="s">
        <v>185</v>
      </c>
      <c r="B43" s="38">
        <v>92.389845911452483</v>
      </c>
      <c r="C43" s="135" t="s">
        <v>212</v>
      </c>
      <c r="D43" s="38">
        <v>15.96062841595465</v>
      </c>
      <c r="E43" s="85">
        <v>4430.1946384052071</v>
      </c>
      <c r="F43" s="253">
        <v>0.61045669514433887</v>
      </c>
      <c r="G43" s="20">
        <v>0.87563735172299695</v>
      </c>
      <c r="H43" s="20">
        <v>0.89620238223317839</v>
      </c>
      <c r="I43" s="20">
        <v>3.2362863802864781</v>
      </c>
      <c r="J43" s="20">
        <v>0.55633819380175575</v>
      </c>
      <c r="K43" s="20">
        <v>0.31064019770642776</v>
      </c>
      <c r="L43" s="20">
        <v>0.4903136221638042</v>
      </c>
      <c r="M43" s="20">
        <v>0.92434400293132168</v>
      </c>
      <c r="N43" s="20">
        <v>0.51953761288879907</v>
      </c>
      <c r="O43" s="20">
        <v>0.1785910544305247</v>
      </c>
      <c r="P43" s="20">
        <v>0.72410554796376381</v>
      </c>
      <c r="Q43" s="20">
        <v>1.4644466463303025</v>
      </c>
      <c r="R43" s="20">
        <v>0.62669224554711389</v>
      </c>
      <c r="S43" s="20">
        <v>0.5141257627545408</v>
      </c>
      <c r="T43" s="20">
        <v>0.41021824017678099</v>
      </c>
      <c r="U43" s="20">
        <v>0.68838733707765887</v>
      </c>
      <c r="V43" s="268">
        <f t="shared" si="1"/>
        <v>13.026323273159784</v>
      </c>
      <c r="W43" s="45" t="s">
        <v>212</v>
      </c>
      <c r="X43" s="45" t="s">
        <v>212</v>
      </c>
      <c r="Y43" s="45" t="s">
        <v>212</v>
      </c>
      <c r="Z43" s="45" t="s">
        <v>212</v>
      </c>
      <c r="AA43" s="45" t="s">
        <v>212</v>
      </c>
      <c r="AB43" s="45" t="s">
        <v>212</v>
      </c>
      <c r="AC43" s="45" t="s">
        <v>212</v>
      </c>
      <c r="AD43" s="45" t="s">
        <v>212</v>
      </c>
      <c r="AE43" s="20">
        <v>0.37699546532616734</v>
      </c>
      <c r="AF43" s="45" t="s">
        <v>212</v>
      </c>
      <c r="AG43" s="45" t="s">
        <v>212</v>
      </c>
      <c r="AH43" s="45" t="s">
        <v>212</v>
      </c>
      <c r="AI43" s="306" t="s">
        <v>212</v>
      </c>
      <c r="AJ43" s="364">
        <v>50.4</v>
      </c>
      <c r="AK43" s="10">
        <v>2.1</v>
      </c>
      <c r="AL43" s="369">
        <v>48.3</v>
      </c>
    </row>
    <row r="44" spans="1:125">
      <c r="A44" s="275" t="s">
        <v>59</v>
      </c>
      <c r="B44" s="38">
        <v>92.839312986745995</v>
      </c>
      <c r="C44" s="135" t="s">
        <v>212</v>
      </c>
      <c r="D44" s="38">
        <v>18.062929873677611</v>
      </c>
      <c r="E44" s="85">
        <v>4429.8582870676064</v>
      </c>
      <c r="F44" s="253">
        <v>0.62042682293677831</v>
      </c>
      <c r="G44" s="20">
        <v>0.85631827124086601</v>
      </c>
      <c r="H44" s="20">
        <v>0.89617207757534645</v>
      </c>
      <c r="I44" s="20">
        <v>3.8604335649399539</v>
      </c>
      <c r="J44" s="20">
        <v>0.5461048597724768</v>
      </c>
      <c r="K44" s="20">
        <v>0.33175600948702727</v>
      </c>
      <c r="L44" s="20">
        <v>0.53317930096129384</v>
      </c>
      <c r="M44" s="20">
        <v>1.0254276656871752</v>
      </c>
      <c r="N44" s="20">
        <v>0.49763401423054099</v>
      </c>
      <c r="O44" s="20">
        <v>0.19496051206867512</v>
      </c>
      <c r="P44" s="20">
        <v>0.82723576391570441</v>
      </c>
      <c r="Q44" s="20">
        <v>1.7729558169339186</v>
      </c>
      <c r="R44" s="20">
        <v>0.68397748709176087</v>
      </c>
      <c r="S44" s="20">
        <v>0.5461048597724768</v>
      </c>
      <c r="T44" s="20">
        <v>0.45670307799512849</v>
      </c>
      <c r="U44" s="20">
        <v>0.74968241104860711</v>
      </c>
      <c r="V44" s="268">
        <f t="shared" si="1"/>
        <v>14.39907251565773</v>
      </c>
      <c r="W44" s="45" t="s">
        <v>212</v>
      </c>
      <c r="X44" s="45" t="s">
        <v>212</v>
      </c>
      <c r="Y44" s="45" t="s">
        <v>212</v>
      </c>
      <c r="Z44" s="45" t="s">
        <v>212</v>
      </c>
      <c r="AA44" s="45" t="s">
        <v>212</v>
      </c>
      <c r="AB44" s="45" t="s">
        <v>212</v>
      </c>
      <c r="AC44" s="45" t="s">
        <v>212</v>
      </c>
      <c r="AD44" s="45" t="s">
        <v>212</v>
      </c>
      <c r="AE44" s="20">
        <v>0.42607587975471084</v>
      </c>
      <c r="AF44" s="45" t="s">
        <v>212</v>
      </c>
      <c r="AG44" s="45" t="s">
        <v>212</v>
      </c>
      <c r="AH44" s="45" t="s">
        <v>212</v>
      </c>
      <c r="AI44" s="306" t="s">
        <v>212</v>
      </c>
      <c r="AJ44" s="364">
        <v>56.5</v>
      </c>
      <c r="AK44" s="10">
        <v>3.1</v>
      </c>
      <c r="AL44" s="369">
        <v>53.4</v>
      </c>
    </row>
    <row r="45" spans="1:125">
      <c r="A45" s="275" t="s">
        <v>61</v>
      </c>
      <c r="B45" s="38">
        <v>94.85270359362012</v>
      </c>
      <c r="C45" s="135" t="s">
        <v>212</v>
      </c>
      <c r="D45" s="38">
        <v>16.486614938250241</v>
      </c>
      <c r="E45" s="85">
        <v>4313.2666176055955</v>
      </c>
      <c r="F45" s="253">
        <v>0.53873003155428278</v>
      </c>
      <c r="G45" s="20">
        <v>0.79175392112967979</v>
      </c>
      <c r="H45" s="20">
        <v>0.77488566182465324</v>
      </c>
      <c r="I45" s="20">
        <v>3.7964126098375188</v>
      </c>
      <c r="J45" s="20">
        <v>0.53873003155428278</v>
      </c>
      <c r="K45" s="20">
        <v>0.30257440128391222</v>
      </c>
      <c r="L45" s="20">
        <v>0.46809419571448446</v>
      </c>
      <c r="M45" s="20">
        <v>0.92669999556989147</v>
      </c>
      <c r="N45" s="20">
        <v>0.40272969090750688</v>
      </c>
      <c r="O45" s="20">
        <v>0.19609351442093267</v>
      </c>
      <c r="P45" s="20">
        <v>0.63361399014505659</v>
      </c>
      <c r="Q45" s="20">
        <v>1.333646751303655</v>
      </c>
      <c r="R45" s="20">
        <v>0.69686996253890587</v>
      </c>
      <c r="S45" s="20">
        <v>0.45649726744227875</v>
      </c>
      <c r="T45" s="20">
        <v>0.41432661917971259</v>
      </c>
      <c r="U45" s="20">
        <v>0.60620306877438856</v>
      </c>
      <c r="V45" s="268">
        <f t="shared" si="1"/>
        <v>12.87786171318114</v>
      </c>
      <c r="W45" s="45" t="s">
        <v>212</v>
      </c>
      <c r="X45" s="45" t="s">
        <v>212</v>
      </c>
      <c r="Y45" s="45" t="s">
        <v>212</v>
      </c>
      <c r="Z45" s="45" t="s">
        <v>212</v>
      </c>
      <c r="AA45" s="45" t="s">
        <v>212</v>
      </c>
      <c r="AB45" s="45" t="s">
        <v>212</v>
      </c>
      <c r="AC45" s="45" t="s">
        <v>212</v>
      </c>
      <c r="AD45" s="45" t="s">
        <v>212</v>
      </c>
      <c r="AE45" s="20">
        <v>0.42</v>
      </c>
      <c r="AF45" s="45" t="s">
        <v>212</v>
      </c>
      <c r="AG45" s="45" t="s">
        <v>212</v>
      </c>
      <c r="AH45" s="45" t="s">
        <v>212</v>
      </c>
      <c r="AI45" s="306" t="s">
        <v>212</v>
      </c>
      <c r="AJ45" s="364">
        <v>60.7</v>
      </c>
      <c r="AK45" s="10">
        <v>12.5</v>
      </c>
      <c r="AL45" s="369">
        <v>48.2</v>
      </c>
    </row>
    <row r="46" spans="1:125">
      <c r="A46" s="275" t="s">
        <v>60</v>
      </c>
      <c r="B46" s="38">
        <v>91.532991781773831</v>
      </c>
      <c r="C46" s="135" t="s">
        <v>212</v>
      </c>
      <c r="D46" s="38">
        <v>15.785565093784145</v>
      </c>
      <c r="E46" s="85">
        <v>4369.0803962078253</v>
      </c>
      <c r="F46" s="253">
        <v>0.59869123616815778</v>
      </c>
      <c r="G46" s="20">
        <v>0.80408166025504402</v>
      </c>
      <c r="H46" s="20">
        <v>0.84122673695160854</v>
      </c>
      <c r="I46" s="20">
        <v>3.7068601538659838</v>
      </c>
      <c r="J46" s="20">
        <v>0.52877109179815396</v>
      </c>
      <c r="K46" s="20">
        <v>0.30590063161876679</v>
      </c>
      <c r="L46" s="20">
        <v>0.51019855344987164</v>
      </c>
      <c r="M46" s="20">
        <v>0.95921698057599003</v>
      </c>
      <c r="N46" s="20">
        <v>0.48616350382268286</v>
      </c>
      <c r="O46" s="20">
        <v>0.18354037897126005</v>
      </c>
      <c r="P46" s="20">
        <v>0.76912158807004205</v>
      </c>
      <c r="Q46" s="20">
        <v>1.7064885235304059</v>
      </c>
      <c r="R46" s="20">
        <v>0.65440885121300452</v>
      </c>
      <c r="S46" s="20">
        <v>0.51129105570565303</v>
      </c>
      <c r="T46" s="20">
        <v>0.43044588877783607</v>
      </c>
      <c r="U46" s="20">
        <v>0.71886648430410183</v>
      </c>
      <c r="V46" s="268">
        <f t="shared" si="1"/>
        <v>13.715273319078563</v>
      </c>
      <c r="W46" s="45" t="s">
        <v>212</v>
      </c>
      <c r="X46" s="45" t="s">
        <v>212</v>
      </c>
      <c r="Y46" s="45" t="s">
        <v>212</v>
      </c>
      <c r="Z46" s="45" t="s">
        <v>212</v>
      </c>
      <c r="AA46" s="45" t="s">
        <v>212</v>
      </c>
      <c r="AB46" s="45" t="s">
        <v>212</v>
      </c>
      <c r="AC46" s="45" t="s">
        <v>212</v>
      </c>
      <c r="AD46" s="45" t="s">
        <v>212</v>
      </c>
      <c r="AE46" s="20">
        <v>0.43</v>
      </c>
      <c r="AF46" s="45" t="s">
        <v>212</v>
      </c>
      <c r="AG46" s="45" t="s">
        <v>212</v>
      </c>
      <c r="AH46" s="45" t="s">
        <v>212</v>
      </c>
      <c r="AI46" s="306" t="s">
        <v>212</v>
      </c>
      <c r="AJ46" s="364">
        <v>57.2</v>
      </c>
      <c r="AK46" s="10">
        <v>3.2</v>
      </c>
      <c r="AL46" s="291">
        <v>54</v>
      </c>
    </row>
    <row r="47" spans="1:125">
      <c r="A47" s="275"/>
      <c r="B47" s="54"/>
      <c r="D47" s="54"/>
      <c r="E47" s="60"/>
      <c r="F47" s="253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68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268"/>
      <c r="AL47" s="269"/>
    </row>
    <row r="48" spans="1:125">
      <c r="A48" s="275" t="s">
        <v>62</v>
      </c>
      <c r="B48" s="38">
        <v>96.241133833984051</v>
      </c>
      <c r="C48" s="24"/>
      <c r="D48" s="38">
        <v>46.351802210634155</v>
      </c>
      <c r="E48" s="85">
        <v>5547.4720499549476</v>
      </c>
      <c r="F48" s="253">
        <v>2.7015475570819856</v>
      </c>
      <c r="G48" s="20">
        <v>2.3170965585741641</v>
      </c>
      <c r="H48" s="20">
        <v>2.9613117452629454</v>
      </c>
      <c r="I48" s="20">
        <v>10.099631636475729</v>
      </c>
      <c r="J48" s="20">
        <v>1.2988209409048006</v>
      </c>
      <c r="K48" s="20">
        <v>0.91436994239697966</v>
      </c>
      <c r="L48" s="20">
        <v>1.7663964796305287</v>
      </c>
      <c r="M48" s="20">
        <v>5.0394252507106261</v>
      </c>
      <c r="N48" s="20">
        <v>2.3274871261014027</v>
      </c>
      <c r="O48" s="20">
        <v>0.69616802432497316</v>
      </c>
      <c r="P48" s="20">
        <v>2.4106116663193098</v>
      </c>
      <c r="Q48" s="20">
        <v>3.8029477149692563</v>
      </c>
      <c r="R48" s="20">
        <v>2.233972018356257</v>
      </c>
      <c r="S48" s="20">
        <v>1.5066322914495687</v>
      </c>
      <c r="T48" s="20">
        <v>1.9014738574846282</v>
      </c>
      <c r="U48" s="20">
        <v>1.9534266951208201</v>
      </c>
      <c r="V48" s="268">
        <f>F48+G48+H48+I48+J48+K48+L48+M48+N48+O48+P48+Q48+R48+S48+T48+U48</f>
        <v>43.93131950516397</v>
      </c>
      <c r="W48" s="45" t="s">
        <v>212</v>
      </c>
      <c r="X48" s="45" t="s">
        <v>212</v>
      </c>
      <c r="Y48" s="45" t="s">
        <v>212</v>
      </c>
      <c r="Z48" s="45" t="s">
        <v>212</v>
      </c>
      <c r="AA48" s="45" t="s">
        <v>212</v>
      </c>
      <c r="AB48" s="45" t="s">
        <v>212</v>
      </c>
      <c r="AC48" s="45" t="s">
        <v>212</v>
      </c>
      <c r="AD48" s="45" t="s">
        <v>212</v>
      </c>
      <c r="AE48" s="45" t="s">
        <v>212</v>
      </c>
      <c r="AF48" s="45" t="s">
        <v>212</v>
      </c>
      <c r="AG48" s="45" t="s">
        <v>212</v>
      </c>
      <c r="AH48" s="45" t="s">
        <v>212</v>
      </c>
      <c r="AI48" s="306" t="s">
        <v>212</v>
      </c>
      <c r="AJ48" s="173" t="s">
        <v>212</v>
      </c>
      <c r="AK48" s="173" t="s">
        <v>212</v>
      </c>
      <c r="AL48" s="368" t="s">
        <v>212</v>
      </c>
    </row>
    <row r="49" spans="1:75">
      <c r="A49" s="43"/>
      <c r="B49" s="19"/>
      <c r="D49" s="21"/>
      <c r="E49" s="56"/>
      <c r="W49" s="14"/>
      <c r="X49" s="15"/>
      <c r="Y49" s="54"/>
      <c r="Z49" s="27"/>
      <c r="AB49" s="14"/>
      <c r="AC49" s="54"/>
      <c r="AD49" s="52"/>
      <c r="AE49" s="54"/>
      <c r="AF49" s="15"/>
      <c r="AG49" s="14"/>
      <c r="AH49" s="15"/>
      <c r="AI49" s="15"/>
    </row>
    <row r="50" spans="1:75">
      <c r="A50" s="43"/>
      <c r="B50" s="19"/>
      <c r="D50" s="21"/>
      <c r="E50" s="56"/>
      <c r="W50" s="14"/>
      <c r="X50" s="15"/>
      <c r="Y50" s="54"/>
      <c r="Z50" s="27"/>
      <c r="AB50" s="14"/>
      <c r="AC50" s="54"/>
      <c r="AD50" s="52"/>
      <c r="AE50" s="54"/>
      <c r="AF50" s="15"/>
      <c r="AG50" s="14"/>
      <c r="AH50" s="15"/>
      <c r="AI50" s="15"/>
    </row>
    <row r="51" spans="1:75" ht="18.75">
      <c r="A51" s="43"/>
      <c r="B51" s="91"/>
      <c r="C51" s="105" t="s">
        <v>173</v>
      </c>
      <c r="D51" s="91"/>
      <c r="E51" s="91"/>
      <c r="F51" s="259"/>
      <c r="G51" s="260"/>
      <c r="H51" s="260"/>
      <c r="I51" s="261"/>
      <c r="J51" s="260"/>
      <c r="K51" s="260"/>
      <c r="L51" s="260"/>
      <c r="M51" s="262" t="s">
        <v>172</v>
      </c>
      <c r="N51" s="260"/>
      <c r="O51" s="260"/>
      <c r="P51" s="260"/>
      <c r="Q51" s="260"/>
      <c r="R51" s="260"/>
      <c r="S51" s="260"/>
      <c r="T51" s="260"/>
      <c r="U51" s="260"/>
      <c r="V51" s="263"/>
      <c r="W51" s="95"/>
      <c r="X51" s="95"/>
      <c r="Y51" s="95"/>
      <c r="Z51" s="95"/>
      <c r="AA51" s="107" t="s">
        <v>175</v>
      </c>
      <c r="AB51" s="95"/>
      <c r="AC51" s="95"/>
      <c r="AD51" s="95"/>
      <c r="AE51" s="95"/>
      <c r="AF51" s="95"/>
      <c r="AG51" s="95"/>
      <c r="AH51" s="95"/>
      <c r="AI51" s="300"/>
    </row>
    <row r="52" spans="1:75">
      <c r="A52" s="43"/>
      <c r="B52" s="91"/>
      <c r="C52" s="92" t="s">
        <v>39</v>
      </c>
      <c r="D52" s="91"/>
      <c r="E52" s="91"/>
      <c r="F52" s="259"/>
      <c r="G52" s="260"/>
      <c r="H52" s="260"/>
      <c r="I52" s="261"/>
      <c r="J52" s="260"/>
      <c r="K52" s="260"/>
      <c r="L52" s="260"/>
      <c r="M52" s="264" t="s">
        <v>179</v>
      </c>
      <c r="N52" s="260"/>
      <c r="O52" s="260"/>
      <c r="P52" s="260"/>
      <c r="Q52" s="260"/>
      <c r="R52" s="260"/>
      <c r="S52" s="260"/>
      <c r="T52" s="260"/>
      <c r="U52" s="260"/>
      <c r="V52" s="263"/>
      <c r="W52" s="95"/>
      <c r="X52" s="95"/>
      <c r="Y52" s="95"/>
      <c r="Z52" s="95"/>
      <c r="AA52" s="123" t="s">
        <v>179</v>
      </c>
      <c r="AB52" s="95"/>
      <c r="AC52" s="95"/>
      <c r="AD52" s="95"/>
      <c r="AE52" s="95"/>
      <c r="AF52" s="95"/>
      <c r="AG52" s="95"/>
      <c r="AH52" s="95"/>
      <c r="AI52" s="300"/>
    </row>
    <row r="53" spans="1:75">
      <c r="A53" s="43"/>
      <c r="B53" s="119" t="s">
        <v>0</v>
      </c>
      <c r="C53" s="119" t="s">
        <v>1</v>
      </c>
      <c r="D53" s="119" t="s">
        <v>2</v>
      </c>
      <c r="E53" s="119" t="s">
        <v>3</v>
      </c>
      <c r="F53" s="316" t="s">
        <v>18</v>
      </c>
      <c r="G53" s="120" t="s">
        <v>19</v>
      </c>
      <c r="H53" s="120" t="s">
        <v>20</v>
      </c>
      <c r="I53" s="120" t="s">
        <v>21</v>
      </c>
      <c r="J53" s="120" t="s">
        <v>22</v>
      </c>
      <c r="K53" s="120" t="s">
        <v>23</v>
      </c>
      <c r="L53" s="120" t="s">
        <v>24</v>
      </c>
      <c r="M53" s="120" t="s">
        <v>25</v>
      </c>
      <c r="N53" s="120" t="s">
        <v>26</v>
      </c>
      <c r="O53" s="120" t="s">
        <v>27</v>
      </c>
      <c r="P53" s="120" t="s">
        <v>28</v>
      </c>
      <c r="Q53" s="120" t="s">
        <v>29</v>
      </c>
      <c r="R53" s="120" t="s">
        <v>30</v>
      </c>
      <c r="S53" s="120" t="s">
        <v>31</v>
      </c>
      <c r="T53" s="120" t="s">
        <v>32</v>
      </c>
      <c r="U53" s="120" t="s">
        <v>33</v>
      </c>
      <c r="V53" s="318" t="s">
        <v>17</v>
      </c>
      <c r="W53" s="121" t="s">
        <v>4</v>
      </c>
      <c r="X53" s="121" t="s">
        <v>5</v>
      </c>
      <c r="Y53" s="121" t="s">
        <v>6</v>
      </c>
      <c r="Z53" s="122" t="s">
        <v>7</v>
      </c>
      <c r="AA53" s="121" t="s">
        <v>8</v>
      </c>
      <c r="AB53" s="121" t="s">
        <v>9</v>
      </c>
      <c r="AC53" s="121" t="s">
        <v>10</v>
      </c>
      <c r="AD53" s="121" t="s">
        <v>11</v>
      </c>
      <c r="AE53" s="121" t="s">
        <v>12</v>
      </c>
      <c r="AF53" s="121" t="s">
        <v>13</v>
      </c>
      <c r="AG53" s="121" t="s">
        <v>14</v>
      </c>
      <c r="AH53" s="121" t="s">
        <v>15</v>
      </c>
      <c r="AI53" s="220" t="s">
        <v>16</v>
      </c>
    </row>
    <row r="54" spans="1:75" s="33" customFormat="1" ht="13.5" thickBot="1">
      <c r="A54" s="32" t="s">
        <v>79</v>
      </c>
      <c r="B54" s="93" t="s">
        <v>93</v>
      </c>
      <c r="C54" s="93" t="s">
        <v>93</v>
      </c>
      <c r="D54" s="93" t="s">
        <v>93</v>
      </c>
      <c r="E54" s="93" t="s">
        <v>94</v>
      </c>
      <c r="F54" s="317" t="s">
        <v>93</v>
      </c>
      <c r="G54" s="94" t="s">
        <v>93</v>
      </c>
      <c r="H54" s="94" t="s">
        <v>93</v>
      </c>
      <c r="I54" s="94" t="s">
        <v>93</v>
      </c>
      <c r="J54" s="94" t="s">
        <v>93</v>
      </c>
      <c r="K54" s="94" t="s">
        <v>93</v>
      </c>
      <c r="L54" s="94" t="s">
        <v>93</v>
      </c>
      <c r="M54" s="94" t="s">
        <v>93</v>
      </c>
      <c r="N54" s="94" t="s">
        <v>93</v>
      </c>
      <c r="O54" s="94" t="s">
        <v>93</v>
      </c>
      <c r="P54" s="94" t="s">
        <v>93</v>
      </c>
      <c r="Q54" s="94" t="s">
        <v>93</v>
      </c>
      <c r="R54" s="94" t="s">
        <v>93</v>
      </c>
      <c r="S54" s="94" t="s">
        <v>93</v>
      </c>
      <c r="T54" s="94" t="s">
        <v>93</v>
      </c>
      <c r="U54" s="94" t="s">
        <v>93</v>
      </c>
      <c r="V54" s="319" t="s">
        <v>93</v>
      </c>
      <c r="W54" s="328" t="s">
        <v>93</v>
      </c>
      <c r="X54" s="329" t="s">
        <v>91</v>
      </c>
      <c r="Y54" s="330" t="s">
        <v>91</v>
      </c>
      <c r="Z54" s="331" t="s">
        <v>91</v>
      </c>
      <c r="AA54" s="330" t="s">
        <v>93</v>
      </c>
      <c r="AB54" s="330" t="s">
        <v>91</v>
      </c>
      <c r="AC54" s="330" t="s">
        <v>91</v>
      </c>
      <c r="AD54" s="330" t="s">
        <v>91</v>
      </c>
      <c r="AE54" s="330" t="s">
        <v>93</v>
      </c>
      <c r="AF54" s="330" t="s">
        <v>93</v>
      </c>
      <c r="AG54" s="330" t="s">
        <v>93</v>
      </c>
      <c r="AH54" s="330" t="s">
        <v>93</v>
      </c>
      <c r="AI54" s="332" t="s">
        <v>91</v>
      </c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</row>
    <row r="55" spans="1:75">
      <c r="A55" s="276" t="s">
        <v>188</v>
      </c>
      <c r="B55" s="53">
        <v>94.120253954510503</v>
      </c>
      <c r="C55" s="63">
        <v>1.7364521826944692</v>
      </c>
      <c r="D55" s="53">
        <v>51.945779941934568</v>
      </c>
      <c r="E55" s="58">
        <v>4684.8476972141552</v>
      </c>
      <c r="F55" s="253">
        <v>2.3905587856652546</v>
      </c>
      <c r="G55" s="20">
        <v>4.4305022827662714</v>
      </c>
      <c r="H55" s="20">
        <v>6.0985810798749158</v>
      </c>
      <c r="I55" s="20">
        <v>9.4028645569500018</v>
      </c>
      <c r="J55" s="20">
        <v>2.22056349424017</v>
      </c>
      <c r="K55" s="20">
        <v>1.3068388028303393</v>
      </c>
      <c r="L55" s="20">
        <v>2.3374352570949157</v>
      </c>
      <c r="M55" s="20">
        <v>4.5261246341928816</v>
      </c>
      <c r="N55" s="20">
        <v>2.7199246628013563</v>
      </c>
      <c r="O55" s="20">
        <v>0.65873175427220343</v>
      </c>
      <c r="P55" s="20">
        <v>2.9217940713686446</v>
      </c>
      <c r="Q55" s="20">
        <v>2.8261717199420344</v>
      </c>
      <c r="R55" s="20">
        <v>3.0280411285093223</v>
      </c>
      <c r="S55" s="20">
        <v>2.3374352570949157</v>
      </c>
      <c r="T55" s="20">
        <v>2.1886893770979663</v>
      </c>
      <c r="U55" s="20">
        <v>2.8049223085138988</v>
      </c>
      <c r="V55" s="268">
        <v>52.199179173215093</v>
      </c>
      <c r="W55" s="12">
        <v>0.50998587427525433</v>
      </c>
      <c r="X55" s="12">
        <v>0.21249411428135595</v>
      </c>
      <c r="Y55" s="54">
        <v>159.37058571101696</v>
      </c>
      <c r="Z55" s="64">
        <v>98.809763140830526</v>
      </c>
      <c r="AA55" s="12">
        <v>0.33999058285016953</v>
      </c>
      <c r="AB55" s="54">
        <v>39.311411142050858</v>
      </c>
      <c r="AC55" s="53">
        <f>0.000276242348565763*10000</f>
        <v>2.7624234856576302</v>
      </c>
      <c r="AD55" s="53">
        <f>0.000701230577128475*10000</f>
        <v>7.0123057712847494</v>
      </c>
      <c r="AE55" s="12">
        <v>0.8393517514113561</v>
      </c>
      <c r="AF55" s="12">
        <v>2.5499293713762716</v>
      </c>
      <c r="AG55" s="12">
        <v>1.2749646856881357E-2</v>
      </c>
      <c r="AH55" s="12">
        <v>0.44623763999084753</v>
      </c>
      <c r="AI55" s="304">
        <v>4.462376399908476</v>
      </c>
      <c r="AJ55" s="15"/>
    </row>
    <row r="56" spans="1:75">
      <c r="A56" s="277" t="s">
        <v>70</v>
      </c>
      <c r="B56" s="53">
        <v>96.064158673288176</v>
      </c>
      <c r="C56" s="63">
        <v>3.2575340310067862E-2</v>
      </c>
      <c r="D56" s="53">
        <v>72.23245480761662</v>
      </c>
      <c r="E56" s="58">
        <v>4709.8549682693338</v>
      </c>
      <c r="F56" s="253">
        <v>3.3311070894641577</v>
      </c>
      <c r="G56" s="20">
        <v>6.3186937603273243</v>
      </c>
      <c r="H56" s="20">
        <v>8.9731697222440729</v>
      </c>
      <c r="I56" s="20">
        <v>14.250892517113849</v>
      </c>
      <c r="J56" s="20">
        <v>3.2790585411912803</v>
      </c>
      <c r="K56" s="20">
        <v>1.8633380281690133</v>
      </c>
      <c r="L56" s="20">
        <v>3.3623362184278842</v>
      </c>
      <c r="M56" s="20">
        <v>6.0480413093083616</v>
      </c>
      <c r="N56" s="20">
        <v>3.8932314108112345</v>
      </c>
      <c r="O56" s="20">
        <v>1.0409709654575492</v>
      </c>
      <c r="P56" s="20">
        <v>4.0389673459752915</v>
      </c>
      <c r="Q56" s="20">
        <v>4.3824877645762825</v>
      </c>
      <c r="R56" s="20">
        <v>4.5490431190494904</v>
      </c>
      <c r="S56" s="20">
        <v>3.3727459280824599</v>
      </c>
      <c r="T56" s="20">
        <v>3.0188157998268927</v>
      </c>
      <c r="U56" s="20">
        <v>4.0493770556298667</v>
      </c>
      <c r="V56" s="268">
        <v>75.772276575655027</v>
      </c>
      <c r="W56" s="12">
        <v>0.4267980958375952</v>
      </c>
      <c r="X56" s="12">
        <v>0</v>
      </c>
      <c r="Y56" s="54">
        <v>84.318648202061496</v>
      </c>
      <c r="Z56" s="64">
        <v>70.786025651113349</v>
      </c>
      <c r="AA56" s="12">
        <v>0.37474954756471773</v>
      </c>
      <c r="AB56" s="54">
        <v>52.048548272877461</v>
      </c>
      <c r="AC56" s="53">
        <f>0.000864005901329766*10000</f>
        <v>8.6400590132976589</v>
      </c>
      <c r="AD56" s="63" t="s">
        <v>174</v>
      </c>
      <c r="AE56" s="12">
        <v>1.0201515461483983</v>
      </c>
      <c r="AF56" s="12">
        <v>2.2901361240066089</v>
      </c>
      <c r="AG56" s="12"/>
      <c r="AH56" s="12">
        <v>0.6141728696199541</v>
      </c>
      <c r="AI56" s="304">
        <v>3.0188157998268927</v>
      </c>
      <c r="AJ56" s="15"/>
    </row>
    <row r="57" spans="1:75">
      <c r="A57" s="277" t="s">
        <v>74</v>
      </c>
      <c r="B57" s="53">
        <v>92.738201100697836</v>
      </c>
      <c r="C57" s="63">
        <v>5.8947775414951673</v>
      </c>
      <c r="D57" s="53">
        <v>56.878933787732358</v>
      </c>
      <c r="E57" s="58">
        <v>5577.3530094504695</v>
      </c>
      <c r="F57" s="253">
        <v>2.5232320362340865</v>
      </c>
      <c r="G57" s="20">
        <v>3.3643093816454486</v>
      </c>
      <c r="H57" s="20">
        <v>3.4829228534342307</v>
      </c>
      <c r="I57" s="20">
        <v>15.365836118092194</v>
      </c>
      <c r="J57" s="20">
        <v>2.2320898782070762</v>
      </c>
      <c r="K57" s="20">
        <v>1.2292668894473753</v>
      </c>
      <c r="L57" s="20">
        <v>2.2860050926565227</v>
      </c>
      <c r="M57" s="20">
        <v>4.5504440995332667</v>
      </c>
      <c r="N57" s="20">
        <v>1.7684190339418384</v>
      </c>
      <c r="O57" s="20">
        <v>0.94890777431025475</v>
      </c>
      <c r="P57" s="20">
        <v>3.6770176254522373</v>
      </c>
      <c r="Q57" s="20">
        <v>7.4187335082438102</v>
      </c>
      <c r="R57" s="20">
        <v>3.0192520091689925</v>
      </c>
      <c r="S57" s="20">
        <v>2.2752220497666333</v>
      </c>
      <c r="T57" s="20">
        <v>2.3291372642160799</v>
      </c>
      <c r="U57" s="20">
        <v>3.4937058963241197</v>
      </c>
      <c r="V57" s="268">
        <v>59.964501510674175</v>
      </c>
      <c r="W57" s="12">
        <v>0.11861347178878184</v>
      </c>
      <c r="X57" s="12">
        <v>0.21566085779778515</v>
      </c>
      <c r="Y57" s="54">
        <v>1940.9477201800664</v>
      </c>
      <c r="Z57" s="64">
        <v>215.66085779778518</v>
      </c>
      <c r="AA57" s="12">
        <v>6.7933170206302324E-2</v>
      </c>
      <c r="AB57" s="54">
        <v>35.584041536634558</v>
      </c>
      <c r="AC57" s="53">
        <f>0.00044210475848546*10000</f>
        <v>4.4210475848546</v>
      </c>
      <c r="AD57" s="63" t="s">
        <v>174</v>
      </c>
      <c r="AE57" s="12">
        <v>0.95969081720014404</v>
      </c>
      <c r="AF57" s="12">
        <v>0.34505737247645629</v>
      </c>
      <c r="AG57" s="12">
        <v>3.3427432958656703E-2</v>
      </c>
      <c r="AH57" s="12">
        <v>0.65776561628324481</v>
      </c>
      <c r="AI57" s="304">
        <v>22.644390068767443</v>
      </c>
      <c r="AJ57" s="15"/>
    </row>
    <row r="58" spans="1:75">
      <c r="A58" s="278" t="s">
        <v>270</v>
      </c>
      <c r="B58" s="4">
        <v>94.176910079921839</v>
      </c>
      <c r="C58" s="129">
        <v>4.1582958738869573</v>
      </c>
      <c r="D58" s="4">
        <v>81.328852194237925</v>
      </c>
      <c r="E58" s="59">
        <v>5895.5164225373237</v>
      </c>
      <c r="F58" s="253">
        <v>7.8681706521392698</v>
      </c>
      <c r="G58" s="20">
        <v>2.9200363418870436</v>
      </c>
      <c r="H58" s="20">
        <v>5.3622485551016617</v>
      </c>
      <c r="I58" s="20">
        <v>19.983666892477874</v>
      </c>
      <c r="J58" s="20">
        <v>2.3997389573326244</v>
      </c>
      <c r="K58" s="20">
        <v>1.8051133749847177</v>
      </c>
      <c r="L58" s="20">
        <v>3.3553872146774752</v>
      </c>
      <c r="M58" s="20">
        <v>15.067387524137144</v>
      </c>
      <c r="N58" s="20">
        <v>1.4971822698402659</v>
      </c>
      <c r="O58" s="20">
        <v>2.059952910276678</v>
      </c>
      <c r="P58" s="20">
        <v>5.8188360558330903</v>
      </c>
      <c r="Q58" s="20">
        <v>9.3334979800680404</v>
      </c>
      <c r="R58" s="20">
        <v>5.3941034970131563</v>
      </c>
      <c r="S58" s="20">
        <v>3.2385857610019935</v>
      </c>
      <c r="T58" s="20">
        <v>5.0436991359867118</v>
      </c>
      <c r="U58" s="20">
        <v>4.4703101815798014</v>
      </c>
      <c r="V58" s="268">
        <v>95.617917304337553</v>
      </c>
      <c r="W58" s="12">
        <v>0.11680145367548174</v>
      </c>
      <c r="X58" s="12">
        <v>0.14865639558697677</v>
      </c>
      <c r="Y58" s="54">
        <v>159.27470955747509</v>
      </c>
      <c r="Z58" s="64">
        <v>94.502994337435226</v>
      </c>
      <c r="AA58" s="12">
        <v>7.6451860587588044E-2</v>
      </c>
      <c r="AB58" s="54">
        <v>9.5564825734485055</v>
      </c>
      <c r="AC58" s="63" t="s">
        <v>174</v>
      </c>
      <c r="AD58" s="63" t="s">
        <v>174</v>
      </c>
      <c r="AE58" s="12">
        <v>0.30793110514445182</v>
      </c>
      <c r="AF58" s="12">
        <v>0.16989302352797345</v>
      </c>
      <c r="AG58" s="12">
        <v>0.27607616323295686</v>
      </c>
      <c r="AH58" s="12">
        <v>1.2741976764598009</v>
      </c>
      <c r="AI58" s="304">
        <v>6.5833546617089711</v>
      </c>
      <c r="AJ58" s="15"/>
    </row>
    <row r="59" spans="1:75">
      <c r="A59" s="277" t="s">
        <v>187</v>
      </c>
      <c r="B59" s="53">
        <v>93.009360724076473</v>
      </c>
      <c r="C59" s="63">
        <v>2.185406370949516</v>
      </c>
      <c r="D59" s="53">
        <v>61.46585629117348</v>
      </c>
      <c r="E59" s="58">
        <v>4818.100581611644</v>
      </c>
      <c r="F59" s="253">
        <v>4.4296616683803247</v>
      </c>
      <c r="G59" s="20">
        <v>4.7414582421255416</v>
      </c>
      <c r="H59" s="20">
        <v>6.0854089910273386</v>
      </c>
      <c r="I59" s="20">
        <v>9.6549421801105133</v>
      </c>
      <c r="J59" s="20">
        <v>2.9996980715488117</v>
      </c>
      <c r="K59" s="20">
        <v>0.90313490326200785</v>
      </c>
      <c r="L59" s="20">
        <v>3.1394689494345989</v>
      </c>
      <c r="M59" s="20">
        <v>5.2790385416862602</v>
      </c>
      <c r="N59" s="20">
        <v>2.2900920761286629</v>
      </c>
      <c r="O59" s="20">
        <v>1.3224475369193687</v>
      </c>
      <c r="P59" s="20">
        <v>2.9029336176278826</v>
      </c>
      <c r="Q59" s="20">
        <v>2.5051241959529502</v>
      </c>
      <c r="R59" s="20">
        <v>3.3329978572764576</v>
      </c>
      <c r="S59" s="20">
        <v>3.0964625254697413</v>
      </c>
      <c r="T59" s="20">
        <v>2.6879014978035949</v>
      </c>
      <c r="U59" s="20">
        <v>4.3974068504066812</v>
      </c>
      <c r="V59" s="268">
        <v>59.768177705160738</v>
      </c>
      <c r="W59" s="12">
        <v>0.56983511753436211</v>
      </c>
      <c r="X59" s="12">
        <v>1.9352890784185881</v>
      </c>
      <c r="Y59" s="54">
        <v>35.480299771007452</v>
      </c>
      <c r="Z59" s="64">
        <v>1612.740898682157</v>
      </c>
      <c r="AA59" s="12">
        <v>0.48382226960464708</v>
      </c>
      <c r="AB59" s="54">
        <v>50.532548158707591</v>
      </c>
      <c r="AC59" s="63" t="s">
        <v>174</v>
      </c>
      <c r="AD59" s="53">
        <f>0.000473070663613433*10000</f>
        <v>4.7307066361343297</v>
      </c>
      <c r="AE59" s="12">
        <v>1.3977087788578693</v>
      </c>
      <c r="AF59" s="12">
        <v>2.365353318067164</v>
      </c>
      <c r="AG59" s="12">
        <v>4.3006423964857516</v>
      </c>
      <c r="AH59" s="12">
        <v>1.7202569585943006</v>
      </c>
      <c r="AI59" s="304">
        <v>129.01927189457254</v>
      </c>
      <c r="AJ59" s="15"/>
    </row>
    <row r="60" spans="1:75">
      <c r="A60" s="278" t="s">
        <v>213</v>
      </c>
      <c r="B60" s="53">
        <v>95.045945736482793</v>
      </c>
      <c r="C60" s="63">
        <v>0.51443517032577224</v>
      </c>
      <c r="D60" s="53">
        <v>72.651704883288488</v>
      </c>
      <c r="E60" s="58">
        <v>5252.3227175210341</v>
      </c>
      <c r="F60" s="253">
        <v>5.1659226092747765</v>
      </c>
      <c r="G60" s="20">
        <v>5.7656325659522967</v>
      </c>
      <c r="H60" s="20">
        <v>7.3753803444024815</v>
      </c>
      <c r="I60" s="20">
        <v>11.131458494119579</v>
      </c>
      <c r="J60" s="20">
        <v>3.4614837850334044</v>
      </c>
      <c r="K60" s="20">
        <v>1.0731651856334565</v>
      </c>
      <c r="L60" s="20">
        <v>3.6613871039259109</v>
      </c>
      <c r="M60" s="20">
        <v>6.070748157946122</v>
      </c>
      <c r="N60" s="20">
        <v>2.7670827825646969</v>
      </c>
      <c r="O60" s="20">
        <v>1.5781840965197891</v>
      </c>
      <c r="P60" s="20">
        <v>3.3352290573118211</v>
      </c>
      <c r="Q60" s="20">
        <v>2.8617738283558842</v>
      </c>
      <c r="R60" s="20">
        <v>3.9244177866792089</v>
      </c>
      <c r="S60" s="20">
        <v>3.7350356950968342</v>
      </c>
      <c r="T60" s="20">
        <v>3.1984531022801059</v>
      </c>
      <c r="U60" s="20">
        <v>5.0712315634835887</v>
      </c>
      <c r="V60" s="268">
        <v>70.176586158579951</v>
      </c>
      <c r="W60" s="12">
        <v>0.3366792739242217</v>
      </c>
      <c r="X60" s="12">
        <v>0.47345522895593667</v>
      </c>
      <c r="Y60" s="54">
        <v>34.720050123435364</v>
      </c>
      <c r="Z60" s="64">
        <v>1578.1840965197891</v>
      </c>
      <c r="AA60" s="12">
        <v>0.35772172854448553</v>
      </c>
      <c r="AB60" s="54">
        <v>35.772172854448549</v>
      </c>
      <c r="AC60" s="63" t="s">
        <v>174</v>
      </c>
      <c r="AD60" s="63" t="s">
        <v>174</v>
      </c>
      <c r="AE60" s="12">
        <v>1.2625472772158313</v>
      </c>
      <c r="AF60" s="12">
        <v>1.8938209158237469</v>
      </c>
      <c r="AG60" s="12">
        <v>0.64179486591804757</v>
      </c>
      <c r="AH60" s="12">
        <v>0.92586800329160968</v>
      </c>
      <c r="AI60" s="304">
        <v>1.2625472772158313</v>
      </c>
      <c r="AJ60" s="15"/>
    </row>
    <row r="61" spans="1:75">
      <c r="A61" s="277" t="s">
        <v>195</v>
      </c>
      <c r="B61" s="53">
        <v>93.344155712455787</v>
      </c>
      <c r="C61" s="63">
        <v>7.5768150051843568</v>
      </c>
      <c r="D61" s="53">
        <v>69.446768793635201</v>
      </c>
      <c r="E61" s="58">
        <v>5719.2552066981098</v>
      </c>
      <c r="F61" s="253">
        <v>4.7030260935920607</v>
      </c>
      <c r="G61" s="20">
        <v>4.7780173980456926</v>
      </c>
      <c r="H61" s="20">
        <v>6.5456695744527318</v>
      </c>
      <c r="I61" s="20">
        <v>9.6953043615052756</v>
      </c>
      <c r="J61" s="20">
        <v>5.6029217470356443</v>
      </c>
      <c r="K61" s="20">
        <v>1.414121741125631</v>
      </c>
      <c r="L61" s="20">
        <v>2.7853913082777582</v>
      </c>
      <c r="M61" s="20">
        <v>5.120834789833725</v>
      </c>
      <c r="N61" s="20">
        <v>4.3602087018040292</v>
      </c>
      <c r="O61" s="20">
        <v>2.0676173942215668</v>
      </c>
      <c r="P61" s="20">
        <v>2.881808699718142</v>
      </c>
      <c r="Q61" s="20">
        <v>3.8781217446021095</v>
      </c>
      <c r="R61" s="20">
        <v>3.192486961026046</v>
      </c>
      <c r="S61" s="20">
        <v>3.171060874039294</v>
      </c>
      <c r="T61" s="20">
        <v>2.3140173945692144</v>
      </c>
      <c r="U61" s="20">
        <v>3.7709913096683496</v>
      </c>
      <c r="V61" s="268">
        <v>66.28160009351727</v>
      </c>
      <c r="W61" s="12">
        <v>4.9280000069529564</v>
      </c>
      <c r="X61" s="12">
        <v>0.4713739137085437</v>
      </c>
      <c r="Y61" s="54">
        <v>31.06782613079038</v>
      </c>
      <c r="Z61" s="64">
        <v>824.90434898995147</v>
      </c>
      <c r="AA61" s="12">
        <v>0.22497391336089587</v>
      </c>
      <c r="AB61" s="54">
        <v>42.852173973503973</v>
      </c>
      <c r="AC61" s="63" t="s">
        <v>174</v>
      </c>
      <c r="AD61" s="63" t="s">
        <v>174</v>
      </c>
      <c r="AE61" s="12">
        <v>3.3210434829465578</v>
      </c>
      <c r="AF61" s="12">
        <v>1.1784347842713594</v>
      </c>
      <c r="AG61" s="12">
        <v>0.5892173921356797</v>
      </c>
      <c r="AH61" s="12">
        <v>0.8677565229634554</v>
      </c>
      <c r="AI61" s="304">
        <v>11.78434784271359</v>
      </c>
      <c r="AJ61" s="15"/>
    </row>
    <row r="62" spans="1:75">
      <c r="A62" s="277" t="s">
        <v>71</v>
      </c>
      <c r="B62" s="53">
        <v>94.302921535718269</v>
      </c>
      <c r="C62" s="63">
        <v>22.172494874291704</v>
      </c>
      <c r="D62" s="53">
        <v>56.338127318650464</v>
      </c>
      <c r="E62" s="58">
        <v>4659.1511453562443</v>
      </c>
      <c r="F62" s="253">
        <v>3.1176128502937659</v>
      </c>
      <c r="G62" s="20">
        <v>3.7114438693973404</v>
      </c>
      <c r="H62" s="20">
        <v>5.9701225670591507</v>
      </c>
      <c r="I62" s="20">
        <v>7.3592629867478694</v>
      </c>
      <c r="J62" s="20">
        <v>2.7040519619894905</v>
      </c>
      <c r="K62" s="20">
        <v>1.1664537875248786</v>
      </c>
      <c r="L62" s="20">
        <v>2.873717967447655</v>
      </c>
      <c r="M62" s="20">
        <v>4.7188357768051903</v>
      </c>
      <c r="N62" s="20">
        <v>3.4993613625746351</v>
      </c>
      <c r="O62" s="20">
        <v>1.6966600545816413</v>
      </c>
      <c r="P62" s="20">
        <v>4.1144006323604803</v>
      </c>
      <c r="Q62" s="20">
        <v>2.799489090059708</v>
      </c>
      <c r="R62" s="20">
        <v>2.7570725886951672</v>
      </c>
      <c r="S62" s="20">
        <v>2.8206973407419786</v>
      </c>
      <c r="T62" s="20">
        <v>2.4495529538022449</v>
      </c>
      <c r="U62" s="20">
        <v>3.3933201091632825</v>
      </c>
      <c r="V62" s="268">
        <v>55.152055899244502</v>
      </c>
      <c r="W62" s="12">
        <v>2.4389488284611089</v>
      </c>
      <c r="X62" s="12">
        <v>0.59383101910357461</v>
      </c>
      <c r="Y62" s="54">
        <v>286.31138421065202</v>
      </c>
      <c r="Z62" s="64">
        <v>243.89488284611093</v>
      </c>
      <c r="AA62" s="12">
        <v>0.41356088830427506</v>
      </c>
      <c r="AB62" s="54">
        <v>8.6953827797309113</v>
      </c>
      <c r="AC62" s="63" t="s">
        <v>174</v>
      </c>
      <c r="AD62" s="63" t="s">
        <v>174</v>
      </c>
      <c r="AE62" s="12">
        <v>1.4845775477589362</v>
      </c>
      <c r="AF62" s="12">
        <v>0.46658151500995138</v>
      </c>
      <c r="AG62" s="12">
        <v>0.81651765126741493</v>
      </c>
      <c r="AH62" s="12">
        <v>1.1664537875248786</v>
      </c>
      <c r="AI62" s="304">
        <v>5.6201864308016871</v>
      </c>
      <c r="AJ62" s="15"/>
    </row>
    <row r="63" spans="1:75">
      <c r="A63" s="277" t="s">
        <v>155</v>
      </c>
      <c r="B63" s="53">
        <v>94.992069372354237</v>
      </c>
      <c r="C63" s="4">
        <v>0.52022630429844896</v>
      </c>
      <c r="D63" s="4">
        <v>48.096646701010478</v>
      </c>
      <c r="E63" s="59">
        <v>4604.6053411622779</v>
      </c>
      <c r="F63" s="253">
        <v>3.2529031322474693</v>
      </c>
      <c r="G63" s="20">
        <v>2.6633802344938822</v>
      </c>
      <c r="H63" s="20">
        <v>5.1477981607411403</v>
      </c>
      <c r="I63" s="20">
        <v>6.5268606537004237</v>
      </c>
      <c r="J63" s="20">
        <v>2.1475476989594942</v>
      </c>
      <c r="K63" s="20">
        <v>1.0106106818632914</v>
      </c>
      <c r="L63" s="20">
        <v>2.2001836719732073</v>
      </c>
      <c r="M63" s="20">
        <v>3.4634470243023219</v>
      </c>
      <c r="N63" s="20">
        <v>3.0528864347953597</v>
      </c>
      <c r="O63" s="20">
        <v>0.7263764275892407</v>
      </c>
      <c r="P63" s="20">
        <v>2.2317652557814354</v>
      </c>
      <c r="Q63" s="20">
        <v>1.8317318608772157</v>
      </c>
      <c r="R63" s="20">
        <v>2.8423425427405071</v>
      </c>
      <c r="S63" s="20">
        <v>2.7265434021103383</v>
      </c>
      <c r="T63" s="20">
        <v>1.8633134446854436</v>
      </c>
      <c r="U63" s="20">
        <v>2.9686688779734185</v>
      </c>
      <c r="V63" s="268">
        <v>44.656359504834192</v>
      </c>
      <c r="W63" s="12">
        <v>0.35792461649324908</v>
      </c>
      <c r="X63" s="12">
        <v>2.0001669745210977</v>
      </c>
      <c r="Y63" s="54">
        <v>88.42843466303799</v>
      </c>
      <c r="Z63" s="64">
        <v>400.03339490421951</v>
      </c>
      <c r="AA63" s="12">
        <v>0.32634303268502118</v>
      </c>
      <c r="AB63" s="54">
        <v>70.532203838375551</v>
      </c>
      <c r="AC63" s="63" t="s">
        <v>174</v>
      </c>
      <c r="AD63" s="63" t="s">
        <v>174</v>
      </c>
      <c r="AE63" s="12">
        <v>1.6843511364388191</v>
      </c>
      <c r="AF63" s="12">
        <v>3.3687022728776381</v>
      </c>
      <c r="AG63" s="12">
        <v>4.9477814632890312E-2</v>
      </c>
      <c r="AH63" s="12">
        <v>0.68426764917827021</v>
      </c>
      <c r="AI63" s="304">
        <v>25.265267046582284</v>
      </c>
      <c r="AJ63" s="15"/>
    </row>
    <row r="64" spans="1:75">
      <c r="A64" s="277"/>
      <c r="B64" s="53"/>
      <c r="C64" s="4"/>
      <c r="D64" s="4"/>
      <c r="E64" s="59"/>
      <c r="F64" s="253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68"/>
      <c r="W64" s="12"/>
      <c r="X64" s="12"/>
      <c r="Y64" s="54"/>
      <c r="Z64" s="64"/>
      <c r="AA64" s="12"/>
      <c r="AB64" s="54"/>
      <c r="AC64" s="63"/>
      <c r="AD64" s="63"/>
      <c r="AE64" s="12"/>
      <c r="AF64" s="12"/>
      <c r="AG64" s="12"/>
      <c r="AH64" s="12"/>
      <c r="AI64" s="304"/>
      <c r="AJ64" s="15"/>
    </row>
    <row r="65" spans="1:49">
      <c r="A65" s="277" t="s">
        <v>64</v>
      </c>
      <c r="B65" s="54">
        <v>96.316552015770498</v>
      </c>
      <c r="C65" s="54">
        <v>14.237607862059811</v>
      </c>
      <c r="D65" s="54">
        <v>43.133811510608872</v>
      </c>
      <c r="E65" s="60">
        <v>5361.1370443934939</v>
      </c>
      <c r="F65" s="253">
        <v>2.5333132768295981</v>
      </c>
      <c r="G65" s="20">
        <v>2.9278456724014208</v>
      </c>
      <c r="H65" s="20">
        <v>4.2048847422786366</v>
      </c>
      <c r="I65" s="20">
        <v>7.2469371607666373</v>
      </c>
      <c r="J65" s="20">
        <v>1.9518971149342805</v>
      </c>
      <c r="K65" s="20">
        <v>0.90327153723022557</v>
      </c>
      <c r="L65" s="20">
        <v>1.7753957800732021</v>
      </c>
      <c r="M65" s="20">
        <v>3.9557063871806433</v>
      </c>
      <c r="N65" s="20">
        <v>1.9518971149342805</v>
      </c>
      <c r="O65" s="20">
        <v>0.96556612600472391</v>
      </c>
      <c r="P65" s="20">
        <v>2.0661038610208609</v>
      </c>
      <c r="Q65" s="20">
        <v>2.4294889622054345</v>
      </c>
      <c r="R65" s="20">
        <v>2.3256646475812706</v>
      </c>
      <c r="S65" s="20">
        <v>1.8896025261597822</v>
      </c>
      <c r="T65" s="20">
        <v>1.6611890339866218</v>
      </c>
      <c r="U65" s="20">
        <v>1.9726619778591132</v>
      </c>
      <c r="V65" s="268">
        <v>40.76142592144673</v>
      </c>
      <c r="W65" s="15">
        <v>0.30109051241007517</v>
      </c>
      <c r="X65" s="15">
        <v>1.1420674608658026</v>
      </c>
      <c r="Y65" s="54">
        <v>259.56078656040967</v>
      </c>
      <c r="Z65" s="64">
        <v>487.97427873357015</v>
      </c>
      <c r="AA65" s="15">
        <v>0.16611890339866217</v>
      </c>
      <c r="AB65" s="54">
        <v>40.491482703423898</v>
      </c>
      <c r="AC65" s="68" t="s">
        <v>174</v>
      </c>
      <c r="AD65" s="54">
        <f>0.000228413492173161*10000</f>
        <v>2.28413492173161</v>
      </c>
      <c r="AE65" s="15">
        <v>0.57103373043290129</v>
      </c>
      <c r="AF65" s="15">
        <v>0.88250667430539276</v>
      </c>
      <c r="AG65" s="15">
        <v>0.34262023825974075</v>
      </c>
      <c r="AH65" s="15">
        <v>0.73715263383156338</v>
      </c>
      <c r="AI65" s="304">
        <v>11.420674608658024</v>
      </c>
      <c r="AJ65" s="15"/>
    </row>
    <row r="66" spans="1:49">
      <c r="A66" s="6"/>
      <c r="E66" s="56"/>
      <c r="W66" s="15"/>
      <c r="X66" s="15"/>
      <c r="Y66" s="54"/>
      <c r="Z66" s="64"/>
      <c r="AB66" s="14"/>
      <c r="AC66" s="54"/>
      <c r="AD66" s="52"/>
      <c r="AE66" s="54"/>
      <c r="AF66" s="15"/>
      <c r="AG66" s="14"/>
      <c r="AH66" s="15"/>
      <c r="AI66" s="15"/>
      <c r="AJ66" s="15"/>
    </row>
    <row r="67" spans="1:49">
      <c r="A67" s="6"/>
      <c r="E67" s="56"/>
      <c r="W67" s="15"/>
      <c r="X67" s="15"/>
      <c r="Y67" s="54"/>
      <c r="Z67" s="64"/>
      <c r="AB67" s="14"/>
      <c r="AC67" s="54"/>
      <c r="AD67" s="52"/>
      <c r="AE67" s="54"/>
      <c r="AF67" s="15"/>
      <c r="AG67" s="14"/>
      <c r="AH67" s="15"/>
      <c r="AI67" s="15"/>
      <c r="AJ67" s="15"/>
    </row>
    <row r="68" spans="1:49" ht="18.75">
      <c r="A68" s="6"/>
      <c r="B68" s="91"/>
      <c r="C68" s="105" t="s">
        <v>173</v>
      </c>
      <c r="D68" s="91"/>
      <c r="E68" s="91"/>
      <c r="F68" s="259"/>
      <c r="G68" s="260"/>
      <c r="H68" s="260"/>
      <c r="I68" s="261"/>
      <c r="J68" s="260"/>
      <c r="K68" s="260"/>
      <c r="L68" s="260"/>
      <c r="M68" s="262" t="s">
        <v>172</v>
      </c>
      <c r="N68" s="260"/>
      <c r="O68" s="260"/>
      <c r="P68" s="260"/>
      <c r="Q68" s="260"/>
      <c r="R68" s="260"/>
      <c r="S68" s="260"/>
      <c r="T68" s="260"/>
      <c r="U68" s="260"/>
      <c r="V68" s="263"/>
      <c r="W68" s="95"/>
      <c r="X68" s="95"/>
      <c r="Y68" s="95"/>
      <c r="Z68" s="95"/>
      <c r="AA68" s="107" t="s">
        <v>175</v>
      </c>
      <c r="AB68" s="95"/>
      <c r="AC68" s="95"/>
      <c r="AD68" s="95"/>
      <c r="AE68" s="95"/>
      <c r="AF68" s="95"/>
      <c r="AG68" s="95"/>
      <c r="AH68" s="95"/>
      <c r="AI68" s="300"/>
      <c r="AJ68" s="15"/>
    </row>
    <row r="69" spans="1:49">
      <c r="A69" s="6"/>
      <c r="B69" s="91"/>
      <c r="C69" s="92" t="s">
        <v>39</v>
      </c>
      <c r="D69" s="91"/>
      <c r="E69" s="91"/>
      <c r="F69" s="259"/>
      <c r="G69" s="260"/>
      <c r="H69" s="260"/>
      <c r="I69" s="261"/>
      <c r="J69" s="260"/>
      <c r="K69" s="260"/>
      <c r="L69" s="260"/>
      <c r="M69" s="264" t="s">
        <v>179</v>
      </c>
      <c r="N69" s="260"/>
      <c r="O69" s="260"/>
      <c r="P69" s="260"/>
      <c r="Q69" s="260"/>
      <c r="R69" s="260"/>
      <c r="S69" s="260"/>
      <c r="T69" s="260"/>
      <c r="U69" s="260"/>
      <c r="V69" s="263"/>
      <c r="W69" s="95"/>
      <c r="X69" s="95"/>
      <c r="Y69" s="95"/>
      <c r="Z69" s="95"/>
      <c r="AA69" s="123" t="s">
        <v>179</v>
      </c>
      <c r="AB69" s="95"/>
      <c r="AC69" s="95"/>
      <c r="AD69" s="95"/>
      <c r="AE69" s="95"/>
      <c r="AF69" s="95"/>
      <c r="AG69" s="95"/>
      <c r="AH69" s="95"/>
      <c r="AI69" s="300"/>
      <c r="AJ69" s="15"/>
    </row>
    <row r="70" spans="1:49">
      <c r="A70" s="6"/>
      <c r="B70" s="119" t="s">
        <v>0</v>
      </c>
      <c r="C70" s="119" t="s">
        <v>1</v>
      </c>
      <c r="D70" s="119" t="s">
        <v>2</v>
      </c>
      <c r="E70" s="119" t="s">
        <v>3</v>
      </c>
      <c r="F70" s="316" t="s">
        <v>18</v>
      </c>
      <c r="G70" s="120" t="s">
        <v>19</v>
      </c>
      <c r="H70" s="120" t="s">
        <v>20</v>
      </c>
      <c r="I70" s="120" t="s">
        <v>21</v>
      </c>
      <c r="J70" s="120" t="s">
        <v>22</v>
      </c>
      <c r="K70" s="120" t="s">
        <v>23</v>
      </c>
      <c r="L70" s="120" t="s">
        <v>24</v>
      </c>
      <c r="M70" s="120" t="s">
        <v>25</v>
      </c>
      <c r="N70" s="120" t="s">
        <v>26</v>
      </c>
      <c r="O70" s="120" t="s">
        <v>27</v>
      </c>
      <c r="P70" s="120" t="s">
        <v>28</v>
      </c>
      <c r="Q70" s="120" t="s">
        <v>29</v>
      </c>
      <c r="R70" s="120" t="s">
        <v>30</v>
      </c>
      <c r="S70" s="120" t="s">
        <v>31</v>
      </c>
      <c r="T70" s="120" t="s">
        <v>32</v>
      </c>
      <c r="U70" s="120" t="s">
        <v>33</v>
      </c>
      <c r="V70" s="318" t="s">
        <v>17</v>
      </c>
      <c r="W70" s="121" t="s">
        <v>4</v>
      </c>
      <c r="X70" s="121" t="s">
        <v>5</v>
      </c>
      <c r="Y70" s="121" t="s">
        <v>6</v>
      </c>
      <c r="Z70" s="122" t="s">
        <v>7</v>
      </c>
      <c r="AA70" s="121" t="s">
        <v>8</v>
      </c>
      <c r="AB70" s="121" t="s">
        <v>9</v>
      </c>
      <c r="AC70" s="121" t="s">
        <v>10</v>
      </c>
      <c r="AD70" s="121" t="s">
        <v>11</v>
      </c>
      <c r="AE70" s="121" t="s">
        <v>12</v>
      </c>
      <c r="AF70" s="121" t="s">
        <v>13</v>
      </c>
      <c r="AG70" s="121" t="s">
        <v>14</v>
      </c>
      <c r="AH70" s="121" t="s">
        <v>15</v>
      </c>
      <c r="AI70" s="220" t="s">
        <v>16</v>
      </c>
      <c r="AJ70" s="15"/>
    </row>
    <row r="71" spans="1:49" s="33" customFormat="1" ht="13.5" thickBot="1">
      <c r="A71" s="34" t="s">
        <v>80</v>
      </c>
      <c r="B71" s="93" t="s">
        <v>93</v>
      </c>
      <c r="C71" s="93" t="s">
        <v>93</v>
      </c>
      <c r="D71" s="93" t="s">
        <v>93</v>
      </c>
      <c r="E71" s="93" t="s">
        <v>94</v>
      </c>
      <c r="F71" s="317" t="s">
        <v>93</v>
      </c>
      <c r="G71" s="94" t="s">
        <v>93</v>
      </c>
      <c r="H71" s="94" t="s">
        <v>93</v>
      </c>
      <c r="I71" s="94" t="s">
        <v>93</v>
      </c>
      <c r="J71" s="94" t="s">
        <v>93</v>
      </c>
      <c r="K71" s="94" t="s">
        <v>93</v>
      </c>
      <c r="L71" s="94" t="s">
        <v>93</v>
      </c>
      <c r="M71" s="94" t="s">
        <v>93</v>
      </c>
      <c r="N71" s="94" t="s">
        <v>93</v>
      </c>
      <c r="O71" s="94" t="s">
        <v>93</v>
      </c>
      <c r="P71" s="94" t="s">
        <v>93</v>
      </c>
      <c r="Q71" s="94" t="s">
        <v>93</v>
      </c>
      <c r="R71" s="94" t="s">
        <v>93</v>
      </c>
      <c r="S71" s="94" t="s">
        <v>93</v>
      </c>
      <c r="T71" s="94" t="s">
        <v>93</v>
      </c>
      <c r="U71" s="94" t="s">
        <v>93</v>
      </c>
      <c r="V71" s="319" t="s">
        <v>93</v>
      </c>
      <c r="W71" s="328" t="s">
        <v>93</v>
      </c>
      <c r="X71" s="329" t="s">
        <v>91</v>
      </c>
      <c r="Y71" s="330" t="s">
        <v>91</v>
      </c>
      <c r="Z71" s="331" t="s">
        <v>91</v>
      </c>
      <c r="AA71" s="330" t="s">
        <v>93</v>
      </c>
      <c r="AB71" s="330" t="s">
        <v>91</v>
      </c>
      <c r="AC71" s="330" t="s">
        <v>91</v>
      </c>
      <c r="AD71" s="330" t="s">
        <v>91</v>
      </c>
      <c r="AE71" s="330" t="s">
        <v>93</v>
      </c>
      <c r="AF71" s="330" t="s">
        <v>93</v>
      </c>
      <c r="AG71" s="330" t="s">
        <v>93</v>
      </c>
      <c r="AH71" s="330" t="s">
        <v>93</v>
      </c>
      <c r="AI71" s="332" t="s">
        <v>91</v>
      </c>
      <c r="AJ71" s="15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</row>
    <row r="72" spans="1:49">
      <c r="A72" s="279" t="s">
        <v>202</v>
      </c>
      <c r="B72" s="137">
        <v>94.187718217293082</v>
      </c>
      <c r="C72" s="63">
        <v>0.92673353685128113</v>
      </c>
      <c r="D72" s="53">
        <v>98.801098233754914</v>
      </c>
      <c r="E72" s="58">
        <v>5201.1952223942426</v>
      </c>
      <c r="F72" s="253">
        <v>8.6741670300915832</v>
      </c>
      <c r="G72" s="20">
        <v>4.9581836022677717</v>
      </c>
      <c r="H72" s="20">
        <v>11.76374182293938</v>
      </c>
      <c r="I72" s="20">
        <v>9.332426951591799</v>
      </c>
      <c r="J72" s="20">
        <v>4.9900348887919757</v>
      </c>
      <c r="K72" s="20">
        <v>6.2110008722197989</v>
      </c>
      <c r="L72" s="20">
        <v>1.3908395115569123</v>
      </c>
      <c r="M72" s="20">
        <v>13.271369385085041</v>
      </c>
      <c r="N72" s="20">
        <v>7.3257959005669431</v>
      </c>
      <c r="O72" s="20">
        <v>0.76443087658089837</v>
      </c>
      <c r="P72" s="20">
        <v>7.2727104230266022</v>
      </c>
      <c r="Q72" s="20">
        <v>3.8009201918883559</v>
      </c>
      <c r="R72" s="20">
        <v>5.0749716528565196</v>
      </c>
      <c r="S72" s="20">
        <v>4.1619014391626692</v>
      </c>
      <c r="T72" s="20">
        <v>2.7604448320976886</v>
      </c>
      <c r="U72" s="20">
        <v>8.8440405582206711</v>
      </c>
      <c r="V72" s="268">
        <f t="shared" ref="V72:V78" si="2">SUM(F72:U72)</f>
        <v>100.59697993894463</v>
      </c>
      <c r="W72" s="12">
        <v>6.7000000000000004E-2</v>
      </c>
      <c r="X72" s="12" t="s">
        <v>174</v>
      </c>
      <c r="Y72" s="54">
        <v>28.000000000000004</v>
      </c>
      <c r="Z72" s="64">
        <v>2600</v>
      </c>
      <c r="AA72" s="12">
        <v>1.6E-2</v>
      </c>
      <c r="AB72" s="54">
        <v>0.91</v>
      </c>
      <c r="AC72" s="63" t="s">
        <v>174</v>
      </c>
      <c r="AD72" s="63" t="s">
        <v>174</v>
      </c>
      <c r="AE72" s="12">
        <v>0.27</v>
      </c>
      <c r="AF72" s="12">
        <v>0.51</v>
      </c>
      <c r="AG72" s="12">
        <v>0.26</v>
      </c>
      <c r="AH72" s="12">
        <v>0.51</v>
      </c>
      <c r="AI72" s="304">
        <v>2.1</v>
      </c>
      <c r="AJ72" s="15"/>
    </row>
    <row r="73" spans="1:49">
      <c r="A73" s="275" t="s">
        <v>203</v>
      </c>
      <c r="B73" s="137">
        <v>90.499489329443122</v>
      </c>
      <c r="C73" s="63">
        <v>0.68130991281069608</v>
      </c>
      <c r="D73" s="53">
        <v>100</v>
      </c>
      <c r="E73" s="58">
        <v>6171.3229448941993</v>
      </c>
      <c r="F73" s="253">
        <v>9.3591688337233183</v>
      </c>
      <c r="G73" s="20">
        <v>4.7735075987821407</v>
      </c>
      <c r="H73" s="20">
        <v>13.31499226049185</v>
      </c>
      <c r="I73" s="20">
        <v>8.8619284588501781</v>
      </c>
      <c r="J73" s="20">
        <v>5.4143951930630765</v>
      </c>
      <c r="K73" s="20">
        <v>7.3260081897975908</v>
      </c>
      <c r="L73" s="20">
        <v>0.41989187211509571</v>
      </c>
      <c r="M73" s="20">
        <v>14.928261032302482</v>
      </c>
      <c r="N73" s="20">
        <v>7.624352414721475</v>
      </c>
      <c r="O73" s="20">
        <v>0.67403695260581153</v>
      </c>
      <c r="P73" s="20">
        <v>7.8342983507790223</v>
      </c>
      <c r="Q73" s="20">
        <v>3.9447736406602414</v>
      </c>
      <c r="R73" s="20">
        <v>5.5138432680377045</v>
      </c>
      <c r="S73" s="20">
        <v>3.6906285601695252</v>
      </c>
      <c r="T73" s="20">
        <v>2.4199031577159462</v>
      </c>
      <c r="U73" s="20">
        <v>10.287350866819844</v>
      </c>
      <c r="V73" s="268">
        <f t="shared" si="2"/>
        <v>106.38734065063532</v>
      </c>
      <c r="W73" s="12">
        <v>4.5999999999999999E-3</v>
      </c>
      <c r="X73" s="12" t="s">
        <v>174</v>
      </c>
      <c r="Y73" s="54">
        <v>17</v>
      </c>
      <c r="Z73" s="64">
        <v>2600</v>
      </c>
      <c r="AA73" s="12">
        <v>1.2999999999999999E-2</v>
      </c>
      <c r="AB73" s="68" t="s">
        <v>174</v>
      </c>
      <c r="AC73" s="63" t="s">
        <v>174</v>
      </c>
      <c r="AD73" s="63" t="s">
        <v>174</v>
      </c>
      <c r="AE73" s="12">
        <v>0.18</v>
      </c>
      <c r="AF73" s="12">
        <v>0.54</v>
      </c>
      <c r="AG73" s="12">
        <v>0.13</v>
      </c>
      <c r="AH73" s="12">
        <v>0.4</v>
      </c>
      <c r="AI73" s="304">
        <v>1.8</v>
      </c>
      <c r="AJ73" s="15"/>
    </row>
    <row r="74" spans="1:49">
      <c r="A74" s="280" t="s">
        <v>153</v>
      </c>
      <c r="B74" s="137">
        <v>92.816556966285603</v>
      </c>
      <c r="C74" s="63">
        <v>1.2627941317737421</v>
      </c>
      <c r="D74" s="53">
        <v>59.080515149811724</v>
      </c>
      <c r="E74" s="58">
        <v>4851.0804506953564</v>
      </c>
      <c r="F74" s="253">
        <v>2.8119982956791301</v>
      </c>
      <c r="G74" s="20">
        <v>5.0206559608677184</v>
      </c>
      <c r="H74" s="20">
        <v>7.2400875658864958</v>
      </c>
      <c r="I74" s="20">
        <v>11.377280460678779</v>
      </c>
      <c r="J74" s="20">
        <v>2.6827110177168714</v>
      </c>
      <c r="K74" s="20">
        <v>1.7453782524904946</v>
      </c>
      <c r="L74" s="20">
        <v>2.7042588973772475</v>
      </c>
      <c r="M74" s="20">
        <v>4.8805947430752719</v>
      </c>
      <c r="N74" s="20">
        <v>3.0813467914338362</v>
      </c>
      <c r="O74" s="20">
        <v>0.62488851015091773</v>
      </c>
      <c r="P74" s="20">
        <v>3.4045649863394831</v>
      </c>
      <c r="Q74" s="20">
        <v>3.2752777083772244</v>
      </c>
      <c r="R74" s="20">
        <v>3.6308177227734362</v>
      </c>
      <c r="S74" s="20">
        <v>2.6934849575470596</v>
      </c>
      <c r="T74" s="20">
        <v>2.4672322211131066</v>
      </c>
      <c r="U74" s="20">
        <v>3.0921207312640244</v>
      </c>
      <c r="V74" s="268">
        <f t="shared" si="2"/>
        <v>60.732698822771091</v>
      </c>
      <c r="W74" s="12">
        <v>0.26</v>
      </c>
      <c r="X74" s="12" t="s">
        <v>174</v>
      </c>
      <c r="Y74" s="54">
        <v>94</v>
      </c>
      <c r="Z74" s="64">
        <v>86</v>
      </c>
      <c r="AA74" s="12">
        <v>0.34</v>
      </c>
      <c r="AB74" s="54">
        <v>30</v>
      </c>
      <c r="AC74" s="53">
        <f>0.00039*10000</f>
        <v>3.9</v>
      </c>
      <c r="AD74" s="63" t="s">
        <v>174</v>
      </c>
      <c r="AE74" s="12">
        <v>0.76</v>
      </c>
      <c r="AF74" s="12">
        <v>2.2999999999999998</v>
      </c>
      <c r="AG74" s="12">
        <v>1.4E-2</v>
      </c>
      <c r="AH74" s="12">
        <v>0.43</v>
      </c>
      <c r="AI74" s="304">
        <v>5.3</v>
      </c>
      <c r="AJ74" s="15"/>
    </row>
    <row r="75" spans="1:49">
      <c r="A75" s="280" t="s">
        <v>68</v>
      </c>
      <c r="B75" s="137">
        <v>93.963149758298016</v>
      </c>
      <c r="C75" s="129">
        <v>17.084255804763927</v>
      </c>
      <c r="D75" s="4">
        <v>78.131693316843737</v>
      </c>
      <c r="E75" s="59">
        <v>6102.453530718959</v>
      </c>
      <c r="F75" s="253">
        <v>5.1828828775186135</v>
      </c>
      <c r="G75" s="20">
        <v>6.2577723449300713</v>
      </c>
      <c r="H75" s="20">
        <v>7.9392826008806683</v>
      </c>
      <c r="I75" s="20">
        <v>12.153700710731533</v>
      </c>
      <c r="J75" s="20">
        <v>4.7358991385950366</v>
      </c>
      <c r="K75" s="20">
        <v>2.1817063447460279</v>
      </c>
      <c r="L75" s="20">
        <v>3.8312891907735129</v>
      </c>
      <c r="M75" s="20">
        <v>6.8750356034435809</v>
      </c>
      <c r="N75" s="20">
        <v>5.7043639062627856</v>
      </c>
      <c r="O75" s="20">
        <v>1.6921527259249682</v>
      </c>
      <c r="P75" s="20">
        <v>3.6397247312348373</v>
      </c>
      <c r="Q75" s="20">
        <v>3.7993617808504001</v>
      </c>
      <c r="R75" s="20">
        <v>3.8738590706709961</v>
      </c>
      <c r="S75" s="20">
        <v>4.1399208200302677</v>
      </c>
      <c r="T75" s="20">
        <v>3.0331039426956976</v>
      </c>
      <c r="U75" s="20">
        <v>4.5443346790563606</v>
      </c>
      <c r="V75" s="268">
        <f t="shared" si="2"/>
        <v>79.584390468345362</v>
      </c>
      <c r="W75" s="12">
        <v>0.87</v>
      </c>
      <c r="X75" s="12" t="s">
        <v>174</v>
      </c>
      <c r="Y75" s="54">
        <v>16</v>
      </c>
      <c r="Z75" s="64">
        <v>79.000000000000014</v>
      </c>
      <c r="AA75" s="12">
        <v>7.3999999999999996E-2</v>
      </c>
      <c r="AB75" s="54">
        <v>0.96000000000000008</v>
      </c>
      <c r="AC75" s="63" t="s">
        <v>174</v>
      </c>
      <c r="AD75" s="63" t="s">
        <v>174</v>
      </c>
      <c r="AE75" s="12">
        <v>0.91</v>
      </c>
      <c r="AF75" s="12">
        <v>0.38</v>
      </c>
      <c r="AG75" s="12">
        <v>0.15</v>
      </c>
      <c r="AH75" s="12">
        <v>0.77</v>
      </c>
      <c r="AI75" s="304">
        <v>7.9</v>
      </c>
      <c r="AJ75" s="15"/>
    </row>
    <row r="76" spans="1:49">
      <c r="A76" s="275" t="s">
        <v>195</v>
      </c>
      <c r="B76" s="137">
        <v>93.111651695363051</v>
      </c>
      <c r="C76" s="63">
        <v>7.1205544951708788</v>
      </c>
      <c r="D76" s="53">
        <v>66.570078901400066</v>
      </c>
      <c r="E76" s="58">
        <v>4671.5773706080854</v>
      </c>
      <c r="F76" s="253">
        <v>4.5858922296538367</v>
      </c>
      <c r="G76" s="20">
        <v>4.6610707907957041</v>
      </c>
      <c r="H76" s="20">
        <v>6.497575641547007</v>
      </c>
      <c r="I76" s="20">
        <v>9.5691568539146825</v>
      </c>
      <c r="J76" s="20">
        <v>5.2195401021352819</v>
      </c>
      <c r="K76" s="20">
        <v>1.535790606183838</v>
      </c>
      <c r="L76" s="20">
        <v>2.7923465566978871</v>
      </c>
      <c r="M76" s="20">
        <v>5.101402363198063</v>
      </c>
      <c r="N76" s="20">
        <v>4.4033157240235905</v>
      </c>
      <c r="O76" s="20">
        <v>1.3854334839001055</v>
      </c>
      <c r="P76" s="20">
        <v>2.8460455289420774</v>
      </c>
      <c r="Q76" s="20">
        <v>3.4045148402816547</v>
      </c>
      <c r="R76" s="20">
        <v>3.1038005957141901</v>
      </c>
      <c r="S76" s="20">
        <v>3.1574995679583799</v>
      </c>
      <c r="T76" s="20">
        <v>2.298316012051338</v>
      </c>
      <c r="U76" s="20">
        <v>3.6085709348095771</v>
      </c>
      <c r="V76" s="268">
        <f t="shared" si="2"/>
        <v>64.170271831807213</v>
      </c>
      <c r="W76" s="12">
        <v>5.0999999999999996</v>
      </c>
      <c r="X76" s="12">
        <v>1.6</v>
      </c>
      <c r="Y76" s="54">
        <v>29.999999999999996</v>
      </c>
      <c r="Z76" s="64">
        <v>1000</v>
      </c>
      <c r="AA76" s="12">
        <v>0.21</v>
      </c>
      <c r="AB76" s="54">
        <v>66</v>
      </c>
      <c r="AC76" s="63" t="s">
        <v>174</v>
      </c>
      <c r="AD76" s="63" t="s">
        <v>174</v>
      </c>
      <c r="AE76" s="12">
        <v>3.3</v>
      </c>
      <c r="AF76" s="12">
        <v>0.73</v>
      </c>
      <c r="AG76" s="12">
        <v>0.42</v>
      </c>
      <c r="AH76" s="12">
        <v>0.78</v>
      </c>
      <c r="AI76" s="304">
        <v>10</v>
      </c>
      <c r="AJ76" s="15"/>
    </row>
    <row r="77" spans="1:49">
      <c r="A77" s="280" t="s">
        <v>154</v>
      </c>
      <c r="B77" s="137">
        <v>97.39004067739134</v>
      </c>
      <c r="C77" s="63">
        <v>1.1281989795457485</v>
      </c>
      <c r="D77" s="53">
        <v>59.959929777045609</v>
      </c>
      <c r="E77" s="58">
        <v>4515.2177978510999</v>
      </c>
      <c r="F77" s="253">
        <v>2.8853052945200472</v>
      </c>
      <c r="G77" s="20">
        <v>4.9697073400274121</v>
      </c>
      <c r="H77" s="20">
        <v>7.1875932603702246</v>
      </c>
      <c r="I77" s="20">
        <v>11.61309711068389</v>
      </c>
      <c r="J77" s="20">
        <v>2.7107494581967702</v>
      </c>
      <c r="K77" s="20">
        <v>1.5093945846777472</v>
      </c>
      <c r="L77" s="20">
        <v>2.700481467824813</v>
      </c>
      <c r="M77" s="20">
        <v>4.8772954266797948</v>
      </c>
      <c r="N77" s="20">
        <v>3.1522730441909412</v>
      </c>
      <c r="O77" s="20">
        <v>0.6263474126894053</v>
      </c>
      <c r="P77" s="20">
        <v>3.234416967166601</v>
      </c>
      <c r="Q77" s="20">
        <v>3.347364861258133</v>
      </c>
      <c r="R77" s="20">
        <v>3.6246006013009846</v>
      </c>
      <c r="S77" s="20">
        <v>2.700481467824813</v>
      </c>
      <c r="T77" s="20">
        <v>2.371905775922174</v>
      </c>
      <c r="U77" s="20">
        <v>3.2446849575385586</v>
      </c>
      <c r="V77" s="268">
        <f t="shared" si="2"/>
        <v>60.755699030872314</v>
      </c>
      <c r="W77" s="12">
        <v>0.28999999999999998</v>
      </c>
      <c r="X77" s="12" t="s">
        <v>174</v>
      </c>
      <c r="Y77" s="54">
        <v>119.99999999999999</v>
      </c>
      <c r="Z77" s="64">
        <v>140</v>
      </c>
      <c r="AA77" s="12">
        <v>0.28000000000000003</v>
      </c>
      <c r="AB77" s="54">
        <v>46</v>
      </c>
      <c r="AC77" s="53">
        <f>0.00037*10000</f>
        <v>3.6999999999999997</v>
      </c>
      <c r="AD77" s="53">
        <f>0.00037*10000</f>
        <v>3.6999999999999997</v>
      </c>
      <c r="AE77" s="12">
        <v>0.87</v>
      </c>
      <c r="AF77" s="12">
        <v>1.8</v>
      </c>
      <c r="AG77" s="12" t="s">
        <v>174</v>
      </c>
      <c r="AH77" s="12">
        <v>0.48</v>
      </c>
      <c r="AI77" s="304">
        <v>4.2</v>
      </c>
      <c r="AJ77" s="15"/>
    </row>
    <row r="78" spans="1:49">
      <c r="A78" s="275" t="s">
        <v>189</v>
      </c>
      <c r="B78" s="53">
        <v>96.177281658145958</v>
      </c>
      <c r="C78" s="63">
        <v>6.5912143659852021</v>
      </c>
      <c r="D78" s="53">
        <v>81.976219997815093</v>
      </c>
      <c r="E78" s="58">
        <v>5731.2756245207656</v>
      </c>
      <c r="F78" s="253">
        <v>6.5400060092749088</v>
      </c>
      <c r="G78" s="20">
        <v>6.0097352517661324</v>
      </c>
      <c r="H78" s="20">
        <v>9.160167399318274</v>
      </c>
      <c r="I78" s="20">
        <v>11.052506181016261</v>
      </c>
      <c r="J78" s="20">
        <v>4.1901787309026837</v>
      </c>
      <c r="K78" s="20">
        <v>1.8507489183639645</v>
      </c>
      <c r="L78" s="20">
        <v>4.0966015384011349</v>
      </c>
      <c r="M78" s="20">
        <v>7.8084968409625697</v>
      </c>
      <c r="N78" s="20">
        <v>4.1797812650691775</v>
      </c>
      <c r="O78" s="20">
        <v>1.6531970675273615</v>
      </c>
      <c r="P78" s="20">
        <v>4.304550855071243</v>
      </c>
      <c r="Q78" s="20">
        <v>3.3271890667217341</v>
      </c>
      <c r="R78" s="20">
        <v>3.9094471533980375</v>
      </c>
      <c r="S78" s="20">
        <v>5.3962847675893126</v>
      </c>
      <c r="T78" s="20">
        <v>3.2855992033877124</v>
      </c>
      <c r="U78" s="20">
        <v>6.1033124442676812</v>
      </c>
      <c r="V78" s="268">
        <f t="shared" si="2"/>
        <v>82.867802693038172</v>
      </c>
      <c r="W78" s="12">
        <v>1.4E-2</v>
      </c>
      <c r="X78" s="12" t="s">
        <v>174</v>
      </c>
      <c r="Y78" s="54">
        <v>40.999999999999993</v>
      </c>
      <c r="Z78" s="64">
        <v>190</v>
      </c>
      <c r="AA78" s="12">
        <v>0.11</v>
      </c>
      <c r="AB78" s="54">
        <v>35</v>
      </c>
      <c r="AC78" s="53" t="s">
        <v>174</v>
      </c>
      <c r="AD78" s="63" t="s">
        <v>174</v>
      </c>
      <c r="AE78" s="12">
        <v>1.1000000000000001</v>
      </c>
      <c r="AF78" s="12">
        <v>2.1999999999999999E-2</v>
      </c>
      <c r="AG78" s="12">
        <v>1.2E-2</v>
      </c>
      <c r="AH78" s="12">
        <v>0.81</v>
      </c>
      <c r="AI78" s="304">
        <v>0.73</v>
      </c>
      <c r="AJ78" s="15"/>
    </row>
    <row r="79" spans="1:49">
      <c r="A79" s="280"/>
      <c r="B79" s="52"/>
      <c r="C79" s="52"/>
      <c r="D79" s="52"/>
      <c r="E79" s="56"/>
      <c r="F79" s="320"/>
      <c r="G79" s="172"/>
      <c r="H79" s="172"/>
      <c r="I79" s="172"/>
      <c r="J79" s="172"/>
      <c r="K79" s="172"/>
      <c r="L79" s="172"/>
      <c r="M79" s="172"/>
      <c r="N79" s="172"/>
      <c r="O79" s="172"/>
      <c r="P79" s="172"/>
      <c r="Q79" s="172"/>
      <c r="R79" s="172"/>
      <c r="S79" s="172"/>
      <c r="T79" s="172"/>
      <c r="U79" s="172"/>
      <c r="V79" s="269"/>
      <c r="W79" s="15"/>
      <c r="X79" s="15"/>
      <c r="Y79" s="54"/>
      <c r="Z79" s="64"/>
      <c r="AA79" s="14"/>
      <c r="AB79" s="54"/>
      <c r="AC79" s="52"/>
      <c r="AD79" s="54"/>
      <c r="AE79" s="15"/>
      <c r="AF79" s="14"/>
      <c r="AG79" s="15"/>
      <c r="AH79" s="15"/>
      <c r="AI79" s="304"/>
      <c r="AJ79" s="15"/>
    </row>
    <row r="80" spans="1:49">
      <c r="A80" s="277" t="s">
        <v>64</v>
      </c>
      <c r="B80" s="137">
        <v>97.275988180904179</v>
      </c>
      <c r="C80" s="129">
        <v>14.582571697569904</v>
      </c>
      <c r="D80" s="53">
        <v>46.996181539664178</v>
      </c>
      <c r="E80" s="58">
        <v>5493.4774243177781</v>
      </c>
      <c r="F80" s="270">
        <v>2.6625275655728897</v>
      </c>
      <c r="G80" s="173">
        <v>3.8344508955933896</v>
      </c>
      <c r="H80" s="173">
        <v>4.4204125606036397</v>
      </c>
      <c r="I80" s="173">
        <v>7.5661014990797177</v>
      </c>
      <c r="J80" s="173">
        <v>2.3746867476731177</v>
      </c>
      <c r="K80" s="173">
        <v>1.0999631255455569</v>
      </c>
      <c r="L80" s="173">
        <v>2.07656590056264</v>
      </c>
      <c r="M80" s="173">
        <v>4.4512526482357577</v>
      </c>
      <c r="N80" s="173">
        <v>2.0868459297733457</v>
      </c>
      <c r="O80" s="173">
        <v>0.894362541331434</v>
      </c>
      <c r="P80" s="173">
        <v>2.4260868937266484</v>
      </c>
      <c r="Q80" s="173">
        <v>3.0326086171583109</v>
      </c>
      <c r="R80" s="173">
        <v>2.2924465139874686</v>
      </c>
      <c r="S80" s="173">
        <v>2.0662858713519334</v>
      </c>
      <c r="T80" s="173">
        <v>2.004605696087697</v>
      </c>
      <c r="U80" s="173">
        <v>2.4055268353052361</v>
      </c>
      <c r="V80" s="271">
        <v>45.694729841588781</v>
      </c>
      <c r="W80" s="12">
        <v>0.41</v>
      </c>
      <c r="X80" s="12">
        <v>0.24000000000000002</v>
      </c>
      <c r="Y80" s="54">
        <v>230</v>
      </c>
      <c r="Z80" s="64">
        <v>210</v>
      </c>
      <c r="AA80" s="12">
        <v>0.19</v>
      </c>
      <c r="AB80" s="54">
        <v>40</v>
      </c>
      <c r="AC80" s="63" t="s">
        <v>174</v>
      </c>
      <c r="AD80" s="63" t="s">
        <v>174</v>
      </c>
      <c r="AE80" s="12">
        <v>0.66</v>
      </c>
      <c r="AF80" s="12">
        <v>0.71</v>
      </c>
      <c r="AG80" s="12">
        <v>0.2</v>
      </c>
      <c r="AH80" s="12">
        <v>0.67</v>
      </c>
      <c r="AI80" s="304">
        <v>11</v>
      </c>
      <c r="AJ80" s="15"/>
    </row>
    <row r="81" spans="1:118">
      <c r="A81" s="6"/>
      <c r="B81" s="137"/>
      <c r="C81" s="129"/>
      <c r="D81" s="53"/>
      <c r="E81" s="58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54"/>
      <c r="Z81" s="64"/>
      <c r="AA81" s="50"/>
      <c r="AB81" s="12"/>
      <c r="AC81" s="54"/>
      <c r="AD81" s="63"/>
      <c r="AE81" s="63"/>
      <c r="AF81" s="12"/>
      <c r="AG81" s="12"/>
      <c r="AH81" s="12"/>
      <c r="AI81" s="12"/>
      <c r="AJ81" s="15"/>
    </row>
    <row r="82" spans="1:118">
      <c r="A82" s="6"/>
      <c r="B82" s="18"/>
      <c r="C82" s="13"/>
      <c r="D82" s="12"/>
      <c r="E82" s="58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54"/>
      <c r="Z82" s="64"/>
      <c r="AA82" s="50"/>
      <c r="AB82" s="12"/>
      <c r="AC82" s="54"/>
      <c r="AD82" s="63"/>
      <c r="AE82" s="63"/>
      <c r="AF82" s="12"/>
      <c r="AG82" s="12"/>
      <c r="AH82" s="12"/>
      <c r="AI82" s="12"/>
      <c r="AJ82" s="15"/>
    </row>
    <row r="83" spans="1:118" ht="18.75">
      <c r="A83" s="6"/>
      <c r="B83" s="91"/>
      <c r="C83" s="105" t="s">
        <v>173</v>
      </c>
      <c r="D83" s="91"/>
      <c r="E83" s="91"/>
      <c r="F83" s="259"/>
      <c r="G83" s="260"/>
      <c r="H83" s="260"/>
      <c r="I83" s="261"/>
      <c r="J83" s="260"/>
      <c r="K83" s="260"/>
      <c r="L83" s="260"/>
      <c r="M83" s="262" t="s">
        <v>172</v>
      </c>
      <c r="N83" s="260"/>
      <c r="O83" s="260"/>
      <c r="P83" s="260"/>
      <c r="Q83" s="260"/>
      <c r="R83" s="260"/>
      <c r="S83" s="260"/>
      <c r="T83" s="260"/>
      <c r="U83" s="260"/>
      <c r="V83" s="263"/>
      <c r="W83" s="95"/>
      <c r="X83" s="95"/>
      <c r="Y83" s="95"/>
      <c r="Z83" s="95"/>
      <c r="AA83" s="107" t="s">
        <v>175</v>
      </c>
      <c r="AB83" s="95"/>
      <c r="AC83" s="95"/>
      <c r="AD83" s="95"/>
      <c r="AE83" s="95"/>
      <c r="AF83" s="95"/>
      <c r="AG83" s="95"/>
      <c r="AH83" s="95"/>
      <c r="AI83" s="300"/>
      <c r="AJ83" s="15"/>
    </row>
    <row r="84" spans="1:118">
      <c r="A84" s="6"/>
      <c r="B84" s="91"/>
      <c r="C84" s="92" t="s">
        <v>39</v>
      </c>
      <c r="D84" s="91"/>
      <c r="E84" s="91"/>
      <c r="F84" s="259"/>
      <c r="G84" s="260"/>
      <c r="H84" s="260"/>
      <c r="I84" s="261"/>
      <c r="J84" s="260"/>
      <c r="K84" s="260"/>
      <c r="L84" s="260"/>
      <c r="M84" s="264" t="s">
        <v>179</v>
      </c>
      <c r="N84" s="260"/>
      <c r="O84" s="260"/>
      <c r="P84" s="260"/>
      <c r="Q84" s="260"/>
      <c r="R84" s="260"/>
      <c r="S84" s="260"/>
      <c r="T84" s="260"/>
      <c r="U84" s="260"/>
      <c r="V84" s="263"/>
      <c r="W84" s="95"/>
      <c r="X84" s="95"/>
      <c r="Y84" s="95"/>
      <c r="Z84" s="95"/>
      <c r="AA84" s="123" t="s">
        <v>179</v>
      </c>
      <c r="AB84" s="95"/>
      <c r="AC84" s="95"/>
      <c r="AD84" s="95"/>
      <c r="AE84" s="95"/>
      <c r="AF84" s="95"/>
      <c r="AG84" s="95"/>
      <c r="AH84" s="95"/>
      <c r="AI84" s="300"/>
      <c r="AJ84" s="15"/>
    </row>
    <row r="85" spans="1:118">
      <c r="A85" s="5"/>
      <c r="B85" s="119" t="s">
        <v>0</v>
      </c>
      <c r="C85" s="119" t="s">
        <v>1</v>
      </c>
      <c r="D85" s="119" t="s">
        <v>2</v>
      </c>
      <c r="E85" s="119" t="s">
        <v>3</v>
      </c>
      <c r="F85" s="316" t="s">
        <v>18</v>
      </c>
      <c r="G85" s="120" t="s">
        <v>19</v>
      </c>
      <c r="H85" s="120" t="s">
        <v>20</v>
      </c>
      <c r="I85" s="120" t="s">
        <v>21</v>
      </c>
      <c r="J85" s="120" t="s">
        <v>22</v>
      </c>
      <c r="K85" s="120" t="s">
        <v>23</v>
      </c>
      <c r="L85" s="120" t="s">
        <v>24</v>
      </c>
      <c r="M85" s="120" t="s">
        <v>25</v>
      </c>
      <c r="N85" s="120" t="s">
        <v>26</v>
      </c>
      <c r="O85" s="120" t="s">
        <v>27</v>
      </c>
      <c r="P85" s="120" t="s">
        <v>28</v>
      </c>
      <c r="Q85" s="120" t="s">
        <v>29</v>
      </c>
      <c r="R85" s="120" t="s">
        <v>30</v>
      </c>
      <c r="S85" s="120" t="s">
        <v>31</v>
      </c>
      <c r="T85" s="120" t="s">
        <v>32</v>
      </c>
      <c r="U85" s="120" t="s">
        <v>33</v>
      </c>
      <c r="V85" s="318" t="s">
        <v>17</v>
      </c>
      <c r="W85" s="121" t="s">
        <v>4</v>
      </c>
      <c r="X85" s="121" t="s">
        <v>5</v>
      </c>
      <c r="Y85" s="121" t="s">
        <v>6</v>
      </c>
      <c r="Z85" s="122" t="s">
        <v>7</v>
      </c>
      <c r="AA85" s="121" t="s">
        <v>8</v>
      </c>
      <c r="AB85" s="121" t="s">
        <v>9</v>
      </c>
      <c r="AC85" s="121" t="s">
        <v>10</v>
      </c>
      <c r="AD85" s="121" t="s">
        <v>11</v>
      </c>
      <c r="AE85" s="121" t="s">
        <v>12</v>
      </c>
      <c r="AF85" s="121" t="s">
        <v>13</v>
      </c>
      <c r="AG85" s="121" t="s">
        <v>14</v>
      </c>
      <c r="AH85" s="121" t="s">
        <v>15</v>
      </c>
      <c r="AI85" s="220" t="s">
        <v>16</v>
      </c>
      <c r="AJ85" s="15"/>
    </row>
    <row r="86" spans="1:118" s="33" customFormat="1" ht="13.5" thickBot="1">
      <c r="A86" s="35" t="s">
        <v>81</v>
      </c>
      <c r="B86" s="93" t="s">
        <v>93</v>
      </c>
      <c r="C86" s="93" t="s">
        <v>93</v>
      </c>
      <c r="D86" s="93" t="s">
        <v>93</v>
      </c>
      <c r="E86" s="93" t="s">
        <v>94</v>
      </c>
      <c r="F86" s="317" t="s">
        <v>93</v>
      </c>
      <c r="G86" s="94" t="s">
        <v>93</v>
      </c>
      <c r="H86" s="94" t="s">
        <v>93</v>
      </c>
      <c r="I86" s="94" t="s">
        <v>93</v>
      </c>
      <c r="J86" s="94" t="s">
        <v>93</v>
      </c>
      <c r="K86" s="94" t="s">
        <v>93</v>
      </c>
      <c r="L86" s="94" t="s">
        <v>93</v>
      </c>
      <c r="M86" s="94" t="s">
        <v>93</v>
      </c>
      <c r="N86" s="94" t="s">
        <v>93</v>
      </c>
      <c r="O86" s="94" t="s">
        <v>93</v>
      </c>
      <c r="P86" s="94" t="s">
        <v>93</v>
      </c>
      <c r="Q86" s="94" t="s">
        <v>93</v>
      </c>
      <c r="R86" s="94" t="s">
        <v>93</v>
      </c>
      <c r="S86" s="94" t="s">
        <v>93</v>
      </c>
      <c r="T86" s="94" t="s">
        <v>93</v>
      </c>
      <c r="U86" s="94" t="s">
        <v>93</v>
      </c>
      <c r="V86" s="319" t="s">
        <v>93</v>
      </c>
      <c r="W86" s="328" t="s">
        <v>93</v>
      </c>
      <c r="X86" s="329" t="s">
        <v>91</v>
      </c>
      <c r="Y86" s="330" t="s">
        <v>91</v>
      </c>
      <c r="Z86" s="331" t="s">
        <v>91</v>
      </c>
      <c r="AA86" s="330" t="s">
        <v>93</v>
      </c>
      <c r="AB86" s="330" t="s">
        <v>91</v>
      </c>
      <c r="AC86" s="330" t="s">
        <v>91</v>
      </c>
      <c r="AD86" s="330" t="s">
        <v>91</v>
      </c>
      <c r="AE86" s="330" t="s">
        <v>93</v>
      </c>
      <c r="AF86" s="330" t="s">
        <v>93</v>
      </c>
      <c r="AG86" s="330" t="s">
        <v>93</v>
      </c>
      <c r="AH86" s="330" t="s">
        <v>93</v>
      </c>
      <c r="AI86" s="332" t="s">
        <v>91</v>
      </c>
      <c r="AJ86" s="15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DC86" s="19"/>
      <c r="DD86" s="19"/>
      <c r="DE86" s="19"/>
      <c r="DF86" s="19"/>
      <c r="DG86" s="19"/>
      <c r="DH86" s="19"/>
      <c r="DI86" s="19"/>
      <c r="DJ86" s="19"/>
      <c r="DK86" s="19"/>
      <c r="DL86" s="19"/>
      <c r="DM86" s="19"/>
      <c r="DN86" s="19"/>
    </row>
    <row r="87" spans="1:118">
      <c r="A87" s="272" t="s">
        <v>195</v>
      </c>
      <c r="B87" s="54">
        <v>92.962632206266022</v>
      </c>
      <c r="C87" s="138">
        <v>7.9541664857711938</v>
      </c>
      <c r="D87" s="138">
        <v>67.595439703744162</v>
      </c>
      <c r="E87" s="61">
        <v>4671.7402432880635</v>
      </c>
      <c r="F87" s="253">
        <v>4.6362714756580328</v>
      </c>
      <c r="G87" s="20">
        <v>4.7653556002703219</v>
      </c>
      <c r="H87" s="20">
        <v>6.6370754071485072</v>
      </c>
      <c r="I87" s="20">
        <v>9.5629822316937165</v>
      </c>
      <c r="J87" s="20">
        <v>5.1956360156446175</v>
      </c>
      <c r="K87" s="20">
        <v>1.5490094953474636</v>
      </c>
      <c r="L87" s="20">
        <v>2.8183367207016352</v>
      </c>
      <c r="M87" s="20">
        <v>5.2279070467976902</v>
      </c>
      <c r="N87" s="20">
        <v>4.4964303406613872</v>
      </c>
      <c r="O87" s="20">
        <v>1.3876543395821028</v>
      </c>
      <c r="P87" s="20">
        <v>2.9259068245452089</v>
      </c>
      <c r="Q87" s="20">
        <v>3.4745143541474359</v>
      </c>
      <c r="R87" s="20">
        <v>3.1840750737697863</v>
      </c>
      <c r="S87" s="20">
        <v>3.2808881672290027</v>
      </c>
      <c r="T87" s="20">
        <v>2.3450282637899105</v>
      </c>
      <c r="U87" s="20">
        <v>3.6573835306815115</v>
      </c>
      <c r="V87" s="268">
        <v>65.144454887668317</v>
      </c>
      <c r="W87" s="62">
        <v>5.9163557113965624</v>
      </c>
      <c r="X87" s="62">
        <v>1.2908412461228862</v>
      </c>
      <c r="Y87" s="54">
        <v>50.557948806479715</v>
      </c>
      <c r="Z87" s="64">
        <v>1032.6729968983091</v>
      </c>
      <c r="AA87" s="62">
        <v>0.26892525960893465</v>
      </c>
      <c r="AB87" s="54">
        <v>75.299072690501703</v>
      </c>
      <c r="AC87" s="69" t="s">
        <v>174</v>
      </c>
      <c r="AD87" s="69" t="s">
        <v>174</v>
      </c>
      <c r="AE87" s="62">
        <v>3.33467321915079</v>
      </c>
      <c r="AF87" s="62">
        <v>0.7637477372893744</v>
      </c>
      <c r="AG87" s="62">
        <v>0.57012155037094148</v>
      </c>
      <c r="AH87" s="62">
        <v>0.80677577882680396</v>
      </c>
      <c r="AI87" s="304">
        <v>10.757010384357386</v>
      </c>
      <c r="AJ87" s="15"/>
    </row>
    <row r="88" spans="1:118">
      <c r="A88" s="273" t="s">
        <v>163</v>
      </c>
      <c r="B88" s="54">
        <v>93.535902360417666</v>
      </c>
      <c r="C88" s="138">
        <v>5.4068571607979168</v>
      </c>
      <c r="D88" s="138">
        <v>40.824965640315959</v>
      </c>
      <c r="E88" s="61">
        <v>5335.1145646420391</v>
      </c>
      <c r="F88" s="253">
        <v>3.3249264950867503</v>
      </c>
      <c r="G88" s="20">
        <v>1.6891909524878024</v>
      </c>
      <c r="H88" s="20">
        <v>2.8865921339981435</v>
      </c>
      <c r="I88" s="20">
        <v>7.6548146960839656</v>
      </c>
      <c r="J88" s="20">
        <v>1.4112228210657589</v>
      </c>
      <c r="K88" s="20">
        <v>1.0370349518437774</v>
      </c>
      <c r="L88" s="20">
        <v>1.5715890507323225</v>
      </c>
      <c r="M88" s="20">
        <v>5.8373307598629118</v>
      </c>
      <c r="N88" s="20">
        <v>1.0477260338215484</v>
      </c>
      <c r="O88" s="20">
        <v>0.56662734482185773</v>
      </c>
      <c r="P88" s="20">
        <v>2.3306558711540566</v>
      </c>
      <c r="Q88" s="20">
        <v>3.8594805939752952</v>
      </c>
      <c r="R88" s="20">
        <v>2.4803310188428487</v>
      </c>
      <c r="S88" s="20">
        <v>1.9030125920432204</v>
      </c>
      <c r="T88" s="20">
        <v>2.0099234118209295</v>
      </c>
      <c r="U88" s="20">
        <v>2.2237450513763473</v>
      </c>
      <c r="V88" s="268">
        <v>41.834203779017543</v>
      </c>
      <c r="W88" s="62">
        <v>1.3898406571102171E-2</v>
      </c>
      <c r="X88" s="62" t="s">
        <v>174</v>
      </c>
      <c r="Y88" s="54">
        <v>38.487895119975242</v>
      </c>
      <c r="Z88" s="64">
        <v>40.626111515529416</v>
      </c>
      <c r="AA88" s="62">
        <v>0.11760190175547991</v>
      </c>
      <c r="AB88" s="54">
        <v>5.2386301691077426</v>
      </c>
      <c r="AC88" s="69" t="s">
        <v>174</v>
      </c>
      <c r="AD88" s="69" t="s">
        <v>174</v>
      </c>
      <c r="AE88" s="62">
        <v>0.40626111515529423</v>
      </c>
      <c r="AF88" s="62">
        <v>0.49178977097746146</v>
      </c>
      <c r="AG88" s="62">
        <v>0.17105731164433441</v>
      </c>
      <c r="AH88" s="62">
        <v>0.7590668204217339</v>
      </c>
      <c r="AI88" s="304">
        <v>11.760190175547992</v>
      </c>
      <c r="AJ88" s="15"/>
    </row>
    <row r="89" spans="1:118">
      <c r="A89" s="273" t="s">
        <v>164</v>
      </c>
      <c r="B89" s="54">
        <v>85.824632334208943</v>
      </c>
      <c r="C89" s="138">
        <v>10.450401581352033</v>
      </c>
      <c r="D89" s="138">
        <v>30.462117097330378</v>
      </c>
      <c r="E89" s="61">
        <v>5452.2026168178045</v>
      </c>
      <c r="F89" s="253">
        <v>2.2138166495152891</v>
      </c>
      <c r="G89" s="20">
        <v>1.3399416562855697</v>
      </c>
      <c r="H89" s="20">
        <v>2.0390416508693452</v>
      </c>
      <c r="I89" s="20">
        <v>4.4625882987597674</v>
      </c>
      <c r="J89" s="20">
        <v>1.2001216573688147</v>
      </c>
      <c r="K89" s="20">
        <v>0.74570666088936055</v>
      </c>
      <c r="L89" s="20">
        <v>1.0486499918756633</v>
      </c>
      <c r="M89" s="20">
        <v>3.5654099723772554</v>
      </c>
      <c r="N89" s="20">
        <v>0.81561666034773816</v>
      </c>
      <c r="O89" s="20">
        <v>0.38450499702107654</v>
      </c>
      <c r="P89" s="20">
        <v>1.5147166549315136</v>
      </c>
      <c r="Q89" s="20">
        <v>2.4585016476196109</v>
      </c>
      <c r="R89" s="20">
        <v>1.6894916535774576</v>
      </c>
      <c r="S89" s="20">
        <v>1.4331549888967399</v>
      </c>
      <c r="T89" s="20">
        <v>1.3049866565563812</v>
      </c>
      <c r="U89" s="20">
        <v>1.5729749878134951</v>
      </c>
      <c r="V89" s="268">
        <v>27.789224784705077</v>
      </c>
      <c r="W89" s="62">
        <v>3.4954999729188779E-2</v>
      </c>
      <c r="X89" s="62" t="s">
        <v>174</v>
      </c>
      <c r="Y89" s="54">
        <v>47.771832963224654</v>
      </c>
      <c r="Z89" s="64">
        <v>53.597666251422801</v>
      </c>
      <c r="AA89" s="62">
        <v>0.39615666359747287</v>
      </c>
      <c r="AB89" s="54">
        <v>17.477499864594385</v>
      </c>
      <c r="AC89" s="69" t="s">
        <v>174</v>
      </c>
      <c r="AD89" s="69" t="s">
        <v>174</v>
      </c>
      <c r="AE89" s="62">
        <v>0.8738749932297194</v>
      </c>
      <c r="AF89" s="62">
        <v>1.2816833234035885</v>
      </c>
      <c r="AG89" s="62">
        <v>0.13981999891675512</v>
      </c>
      <c r="AH89" s="62">
        <v>1.0020433255700785</v>
      </c>
      <c r="AI89" s="304">
        <v>5.9423499539620916</v>
      </c>
      <c r="AJ89" s="15"/>
    </row>
    <row r="90" spans="1:118">
      <c r="A90" s="273" t="s">
        <v>165</v>
      </c>
      <c r="B90" s="54">
        <v>84.267334392748751</v>
      </c>
      <c r="C90" s="138">
        <v>12.935392902665749</v>
      </c>
      <c r="D90" s="138">
        <v>32.501918088863619</v>
      </c>
      <c r="E90" s="61">
        <v>5704.9329786485796</v>
      </c>
      <c r="F90" s="253">
        <v>2.4457875816911447</v>
      </c>
      <c r="G90" s="20">
        <v>1.5972974696537028</v>
      </c>
      <c r="H90" s="20">
        <v>2.2547289690505461</v>
      </c>
      <c r="I90" s="20">
        <v>4.8737746715213648</v>
      </c>
      <c r="J90" s="20">
        <v>1.3041827036771314</v>
      </c>
      <c r="K90" s="20">
        <v>0.81763592614517155</v>
      </c>
      <c r="L90" s="20">
        <v>1.1510984736731735</v>
      </c>
      <c r="M90" s="20">
        <v>3.9054279142870243</v>
      </c>
      <c r="N90" s="20">
        <v>0.92681227622551399</v>
      </c>
      <c r="O90" s="20">
        <v>0.42602510520481368</v>
      </c>
      <c r="P90" s="20">
        <v>1.6720595354695891</v>
      </c>
      <c r="Q90" s="20">
        <v>2.6617668829370391</v>
      </c>
      <c r="R90" s="20">
        <v>1.8595580497380026</v>
      </c>
      <c r="S90" s="20">
        <v>1.5557629886448765</v>
      </c>
      <c r="T90" s="20">
        <v>1.4477733380219295</v>
      </c>
      <c r="U90" s="20">
        <v>1.7254610110523652</v>
      </c>
      <c r="V90" s="268">
        <v>30.625152896993388</v>
      </c>
      <c r="W90" s="62">
        <v>5.102807666798604E-2</v>
      </c>
      <c r="X90" s="62" t="s">
        <v>174</v>
      </c>
      <c r="Y90" s="54">
        <v>48.654677753195983</v>
      </c>
      <c r="Z90" s="64">
        <v>60.521672327146234</v>
      </c>
      <c r="AA90" s="62">
        <v>0.45094579381010919</v>
      </c>
      <c r="AB90" s="54">
        <v>21.360590233110436</v>
      </c>
      <c r="AC90" s="69" t="s">
        <v>174</v>
      </c>
      <c r="AD90" s="69" t="s">
        <v>174</v>
      </c>
      <c r="AE90" s="62">
        <v>0.94935956591601944</v>
      </c>
      <c r="AF90" s="62">
        <v>1.4240393488740291</v>
      </c>
      <c r="AG90" s="62">
        <v>0.2492068860529551</v>
      </c>
      <c r="AH90" s="62">
        <v>0.7950886364546661</v>
      </c>
      <c r="AI90" s="304">
        <v>6.2895071241936282</v>
      </c>
      <c r="AJ90" s="15"/>
    </row>
    <row r="91" spans="1:118">
      <c r="A91" s="273" t="s">
        <v>196</v>
      </c>
      <c r="B91" s="54">
        <v>91.862994141193994</v>
      </c>
      <c r="C91" s="138">
        <v>1.3722364619285909</v>
      </c>
      <c r="D91" s="138">
        <v>50.579307915058521</v>
      </c>
      <c r="E91" s="61">
        <v>4718.8404759998139</v>
      </c>
      <c r="F91" s="253">
        <v>2.329556117788635</v>
      </c>
      <c r="G91" s="20">
        <v>4.1910238567692728</v>
      </c>
      <c r="H91" s="20">
        <v>5.9980627144931677</v>
      </c>
      <c r="I91" s="20">
        <v>9.5032826674274684</v>
      </c>
      <c r="J91" s="20">
        <v>2.1880410265211006</v>
      </c>
      <c r="K91" s="20">
        <v>1.3062931501618513</v>
      </c>
      <c r="L91" s="20">
        <v>2.046525935253567</v>
      </c>
      <c r="M91" s="20">
        <v>4.0712803180044368</v>
      </c>
      <c r="N91" s="20">
        <v>2.6887867340831444</v>
      </c>
      <c r="O91" s="20">
        <v>0.52251726006474053</v>
      </c>
      <c r="P91" s="20">
        <v>2.699672510334493</v>
      </c>
      <c r="Q91" s="20">
        <v>2.7649871678425852</v>
      </c>
      <c r="R91" s="20">
        <v>3.0371315741263043</v>
      </c>
      <c r="S91" s="20">
        <v>2.2860130127832399</v>
      </c>
      <c r="T91" s="20">
        <v>1.9050108439860334</v>
      </c>
      <c r="U91" s="20">
        <v>2.4710712090561691</v>
      </c>
      <c r="V91" s="268">
        <v>50.009256098696213</v>
      </c>
      <c r="W91" s="62">
        <v>0.30480173503776531</v>
      </c>
      <c r="X91" s="62">
        <v>0.13062931501618513</v>
      </c>
      <c r="Y91" s="54">
        <v>152.40086751888265</v>
      </c>
      <c r="Z91" s="64">
        <v>58.783191757283312</v>
      </c>
      <c r="AA91" s="62">
        <v>0.32657328754046283</v>
      </c>
      <c r="AB91" s="54">
        <v>27.214440628371907</v>
      </c>
      <c r="AC91" s="69">
        <f>0.000696689680086321*10000</f>
        <v>6.9668968008632106</v>
      </c>
      <c r="AD91" s="69">
        <f>0.000587831917572833*10000</f>
        <v>5.87831917572833</v>
      </c>
      <c r="AE91" s="62">
        <v>0.76200433759441333</v>
      </c>
      <c r="AF91" s="62">
        <v>2.6125863003237026</v>
      </c>
      <c r="AG91" s="62" t="s">
        <v>174</v>
      </c>
      <c r="AH91" s="62">
        <v>0.43543105005395044</v>
      </c>
      <c r="AI91" s="304">
        <v>5.2251726006474062</v>
      </c>
      <c r="AJ91" s="15"/>
    </row>
    <row r="92" spans="1:118">
      <c r="A92" s="273" t="s">
        <v>197</v>
      </c>
      <c r="B92" s="54">
        <v>91.187873480269147</v>
      </c>
      <c r="C92" s="138">
        <v>1.1887469233869448</v>
      </c>
      <c r="D92" s="138">
        <v>57.433075255704964</v>
      </c>
      <c r="E92" s="61">
        <v>4800.4965275861805</v>
      </c>
      <c r="F92" s="253">
        <v>2.6099961641445391</v>
      </c>
      <c r="G92" s="20">
        <v>4.7265056585978833</v>
      </c>
      <c r="H92" s="20">
        <v>7.0404098209277057</v>
      </c>
      <c r="I92" s="20">
        <v>11.108933253270665</v>
      </c>
      <c r="J92" s="20">
        <v>2.5222652006438819</v>
      </c>
      <c r="K92" s="20">
        <v>1.4585272681984187</v>
      </c>
      <c r="L92" s="20">
        <v>2.4783997188935536</v>
      </c>
      <c r="M92" s="20">
        <v>4.6497410655348093</v>
      </c>
      <c r="N92" s="20">
        <v>3.0376846112102407</v>
      </c>
      <c r="O92" s="20">
        <v>0.60315037406701533</v>
      </c>
      <c r="P92" s="20">
        <v>3.1254155747108974</v>
      </c>
      <c r="Q92" s="20">
        <v>3.2460456495243006</v>
      </c>
      <c r="R92" s="20">
        <v>3.5202049104638529</v>
      </c>
      <c r="S92" s="20">
        <v>2.5990297937069569</v>
      </c>
      <c r="T92" s="20">
        <v>2.2590723101419119</v>
      </c>
      <c r="U92" s="20">
        <v>2.8622226842089273</v>
      </c>
      <c r="V92" s="268">
        <v>57.847604058245565</v>
      </c>
      <c r="W92" s="62">
        <v>0.24126014962680611</v>
      </c>
      <c r="X92" s="62" t="s">
        <v>174</v>
      </c>
      <c r="Y92" s="54">
        <v>164.49555656373147</v>
      </c>
      <c r="Z92" s="64">
        <v>37.285659487779128</v>
      </c>
      <c r="AA92" s="62">
        <v>0.31802474268988079</v>
      </c>
      <c r="AB92" s="54">
        <v>44.962118794086592</v>
      </c>
      <c r="AC92" s="69" t="s">
        <v>174</v>
      </c>
      <c r="AD92" s="69">
        <f>0.00103083882113272*10000</f>
        <v>10.3083882113272</v>
      </c>
      <c r="AE92" s="62">
        <v>0.80054504194349307</v>
      </c>
      <c r="AF92" s="62">
        <v>2.7415926093955241</v>
      </c>
      <c r="AG92" s="62" t="s">
        <v>174</v>
      </c>
      <c r="AH92" s="62">
        <v>0.460587558378448</v>
      </c>
      <c r="AI92" s="304">
        <v>5.7025126275426903</v>
      </c>
      <c r="AJ92" s="15"/>
    </row>
    <row r="93" spans="1:118">
      <c r="A93" s="273" t="s">
        <v>198</v>
      </c>
      <c r="B93" s="54">
        <v>87.496803093980077</v>
      </c>
      <c r="C93" s="138">
        <v>1.3432202762226784</v>
      </c>
      <c r="D93" s="138">
        <v>56.718262738540048</v>
      </c>
      <c r="E93" s="61">
        <v>4790.4939972468364</v>
      </c>
      <c r="F93" s="253">
        <v>2.6172384807480533</v>
      </c>
      <c r="G93" s="20">
        <v>4.6401695335533164</v>
      </c>
      <c r="H93" s="20">
        <v>7.0288282343233748</v>
      </c>
      <c r="I93" s="20">
        <v>9.4174869350934323</v>
      </c>
      <c r="J93" s="20">
        <v>2.5486645467546545</v>
      </c>
      <c r="K93" s="20">
        <v>1.462910591859174</v>
      </c>
      <c r="L93" s="20">
        <v>2.4915196017601562</v>
      </c>
      <c r="M93" s="20">
        <v>4.6744565005500167</v>
      </c>
      <c r="N93" s="20">
        <v>3.0286820847084464</v>
      </c>
      <c r="O93" s="20">
        <v>0.617165405940589</v>
      </c>
      <c r="P93" s="20">
        <v>3.1315429856985442</v>
      </c>
      <c r="Q93" s="20">
        <v>3.4972706336633377</v>
      </c>
      <c r="R93" s="20">
        <v>3.485841644664438</v>
      </c>
      <c r="S93" s="20">
        <v>2.594380502750254</v>
      </c>
      <c r="T93" s="20">
        <v>2.2400818437843601</v>
      </c>
      <c r="U93" s="20">
        <v>2.8801052277227486</v>
      </c>
      <c r="V93" s="268">
        <v>56.356344753574909</v>
      </c>
      <c r="W93" s="62">
        <v>0.22857977997799594</v>
      </c>
      <c r="X93" s="62" t="s">
        <v>174</v>
      </c>
      <c r="Y93" s="54">
        <v>160.00584598459713</v>
      </c>
      <c r="Z93" s="64">
        <v>57.144944994498985</v>
      </c>
      <c r="AA93" s="62">
        <v>0.29715371397139473</v>
      </c>
      <c r="AB93" s="54">
        <v>43.430158195819224</v>
      </c>
      <c r="AC93" s="69" t="s">
        <v>174</v>
      </c>
      <c r="AD93" s="69">
        <f>0.00100575103190318*10000</f>
        <v>10.057510319031801</v>
      </c>
      <c r="AE93" s="62">
        <v>0.75431327392738656</v>
      </c>
      <c r="AF93" s="62">
        <v>2.7429573597359513</v>
      </c>
      <c r="AG93" s="62" t="s">
        <v>174</v>
      </c>
      <c r="AH93" s="62">
        <v>0.44573057095709206</v>
      </c>
      <c r="AI93" s="304">
        <v>5.4859147194719018</v>
      </c>
      <c r="AJ93" s="15"/>
    </row>
    <row r="94" spans="1:118">
      <c r="A94" s="281" t="s">
        <v>199</v>
      </c>
      <c r="B94" s="54">
        <v>93.375024065785382</v>
      </c>
      <c r="C94" s="138">
        <v>3.308612654884314</v>
      </c>
      <c r="D94" s="138">
        <v>50.979371064432641</v>
      </c>
      <c r="E94" s="61">
        <v>4662.453952282558</v>
      </c>
      <c r="F94" s="253">
        <v>2.4417664389501783</v>
      </c>
      <c r="G94" s="20">
        <v>4.3159292758636925</v>
      </c>
      <c r="H94" s="20">
        <v>6.200801614702427</v>
      </c>
      <c r="I94" s="20">
        <v>9.5742947211467531</v>
      </c>
      <c r="J94" s="20">
        <v>2.3346714196979779</v>
      </c>
      <c r="K94" s="20">
        <v>1.3172687368020701</v>
      </c>
      <c r="L94" s="20">
        <v>2.2811239100718774</v>
      </c>
      <c r="M94" s="20">
        <v>4.1981247546862717</v>
      </c>
      <c r="N94" s="20">
        <v>2.7737609986320013</v>
      </c>
      <c r="O94" s="20">
        <v>0.51405609241056394</v>
      </c>
      <c r="P94" s="20">
        <v>2.8273085082581013</v>
      </c>
      <c r="Q94" s="20">
        <v>2.8701465159589818</v>
      </c>
      <c r="R94" s="20">
        <v>3.1057555583138234</v>
      </c>
      <c r="S94" s="20">
        <v>2.366799925473638</v>
      </c>
      <c r="T94" s="20">
        <v>2.0990623773431358</v>
      </c>
      <c r="U94" s="20">
        <v>2.6345374736041403</v>
      </c>
      <c r="V94" s="268">
        <v>51.855408321915633</v>
      </c>
      <c r="W94" s="62">
        <v>0.55689410011144425</v>
      </c>
      <c r="X94" s="62">
        <v>0.17135203080352129</v>
      </c>
      <c r="Y94" s="54">
        <v>149.93302695308114</v>
      </c>
      <c r="Z94" s="64">
        <v>139.22352502786106</v>
      </c>
      <c r="AA94" s="62">
        <v>0.35341356353226266</v>
      </c>
      <c r="AB94" s="54">
        <v>38.55420693079229</v>
      </c>
      <c r="AC94" s="69">
        <f>0.000331994559681822*10000</f>
        <v>3.3199455968182199</v>
      </c>
      <c r="AD94" s="69">
        <f>0.000674698621288865*10000</f>
        <v>6.7469862128886504</v>
      </c>
      <c r="AE94" s="62">
        <v>0.8888886597932667</v>
      </c>
      <c r="AF94" s="62">
        <v>2.5702804620528195</v>
      </c>
      <c r="AG94" s="62">
        <v>2.9986605390616226E-2</v>
      </c>
      <c r="AH94" s="62">
        <v>0.43908957893402328</v>
      </c>
      <c r="AI94" s="304">
        <v>4.926370885601238</v>
      </c>
      <c r="AJ94" s="15"/>
    </row>
    <row r="95" spans="1:118">
      <c r="A95" s="282" t="s">
        <v>65</v>
      </c>
      <c r="B95" s="54">
        <v>95.352333245517826</v>
      </c>
      <c r="C95" s="138">
        <v>3.3208976772532686</v>
      </c>
      <c r="D95" s="138">
        <v>64.980056482165338</v>
      </c>
      <c r="E95" s="61">
        <v>4749.9115604629415</v>
      </c>
      <c r="F95" s="253">
        <v>2.9364776977092149</v>
      </c>
      <c r="G95" s="20">
        <v>5.8414931343715448</v>
      </c>
      <c r="H95" s="20">
        <v>7.6872791157887654</v>
      </c>
      <c r="I95" s="20">
        <v>11.357876237925284</v>
      </c>
      <c r="J95" s="20">
        <v>2.8211160738706385</v>
      </c>
      <c r="K95" s="20">
        <v>1.5836004726931836</v>
      </c>
      <c r="L95" s="20">
        <v>2.873553175615446</v>
      </c>
      <c r="M95" s="20">
        <v>5.2227353337828184</v>
      </c>
      <c r="N95" s="20">
        <v>3.2825625692249436</v>
      </c>
      <c r="O95" s="20">
        <v>0.6607074819845733</v>
      </c>
      <c r="P95" s="20">
        <v>3.5552354982979422</v>
      </c>
      <c r="Q95" s="20">
        <v>3.5237732372510577</v>
      </c>
      <c r="R95" s="20">
        <v>3.6915719628344412</v>
      </c>
      <c r="S95" s="20">
        <v>2.8316034942195998</v>
      </c>
      <c r="T95" s="20">
        <v>2.5903928261934861</v>
      </c>
      <c r="U95" s="20">
        <v>3.2720751488759823</v>
      </c>
      <c r="V95" s="268">
        <v>63.73205346063893</v>
      </c>
      <c r="W95" s="62">
        <v>0.41949681395845928</v>
      </c>
      <c r="X95" s="62" t="s">
        <v>174</v>
      </c>
      <c r="Y95" s="54">
        <v>115.36162383857628</v>
      </c>
      <c r="Z95" s="64">
        <v>178.28614593234519</v>
      </c>
      <c r="AA95" s="62">
        <v>0.39852197326053629</v>
      </c>
      <c r="AB95" s="54">
        <v>44.047165465638223</v>
      </c>
      <c r="AC95" s="69">
        <f>0.00049290875640119*10000</f>
        <v>4.9290875640118994</v>
      </c>
      <c r="AD95" s="48" t="s">
        <v>92</v>
      </c>
      <c r="AE95" s="62">
        <v>0.88094330931276432</v>
      </c>
      <c r="AF95" s="62">
        <v>2.5169808837507555</v>
      </c>
      <c r="AG95" s="62">
        <v>1.5731130523442223E-2</v>
      </c>
      <c r="AH95" s="62">
        <v>0.56632069884391989</v>
      </c>
      <c r="AI95" s="304">
        <v>5.138835970991126</v>
      </c>
      <c r="AJ95" s="15"/>
    </row>
    <row r="96" spans="1:118">
      <c r="A96" s="280"/>
      <c r="B96" s="52"/>
      <c r="C96" s="52"/>
      <c r="D96" s="52"/>
      <c r="E96" s="56"/>
      <c r="F96" s="215"/>
      <c r="G96" s="19"/>
      <c r="H96" s="19"/>
      <c r="I96" s="172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269"/>
      <c r="X96" s="15"/>
      <c r="Y96" s="54"/>
      <c r="Z96" s="64"/>
      <c r="AA96" s="14"/>
      <c r="AB96" s="54"/>
      <c r="AC96" s="54"/>
      <c r="AD96" s="54"/>
      <c r="AE96" s="15"/>
      <c r="AF96" s="15"/>
      <c r="AG96" s="15"/>
      <c r="AH96" s="15"/>
      <c r="AI96" s="309"/>
      <c r="AJ96" s="15"/>
    </row>
    <row r="97" spans="1:181">
      <c r="A97" s="277" t="s">
        <v>64</v>
      </c>
      <c r="B97" s="54">
        <v>99.744088999772046</v>
      </c>
      <c r="C97" s="54">
        <v>16.52411559359183</v>
      </c>
      <c r="D97" s="54">
        <v>48.761786776268167</v>
      </c>
      <c r="E97" s="60">
        <v>5399.8907143382785</v>
      </c>
      <c r="F97" s="253">
        <v>2.7771069221017504</v>
      </c>
      <c r="G97" s="20">
        <v>3.4688772384375652</v>
      </c>
      <c r="H97" s="20">
        <v>4.4213146304941224</v>
      </c>
      <c r="I97" s="20">
        <v>8.6521417825769351</v>
      </c>
      <c r="J97" s="20">
        <v>2.6367477274828892</v>
      </c>
      <c r="K97" s="20">
        <v>1.0827709299169279</v>
      </c>
      <c r="L97" s="20">
        <v>1.9750543814225445</v>
      </c>
      <c r="M97" s="20">
        <v>4.3310837196677117</v>
      </c>
      <c r="N97" s="20">
        <v>2.0552596354904646</v>
      </c>
      <c r="O97" s="20">
        <v>0.99254001909051726</v>
      </c>
      <c r="P97" s="20">
        <v>2.5064141896225185</v>
      </c>
      <c r="Q97" s="20">
        <v>3.128004908648903</v>
      </c>
      <c r="R97" s="20">
        <v>2.5465168166564784</v>
      </c>
      <c r="S97" s="20">
        <v>2.0452339787319751</v>
      </c>
      <c r="T97" s="20">
        <v>1.9550030679055643</v>
      </c>
      <c r="U97" s="20">
        <v>2.3560293382451674</v>
      </c>
      <c r="V97" s="268">
        <v>46.93009928649203</v>
      </c>
      <c r="W97" s="16">
        <v>0.45115455413205324</v>
      </c>
      <c r="X97" s="18" t="s">
        <v>174</v>
      </c>
      <c r="Y97" s="54">
        <v>240.61576220376176</v>
      </c>
      <c r="Z97" s="64">
        <v>54.138546495846398</v>
      </c>
      <c r="AA97" s="15">
        <v>0.19048747841131139</v>
      </c>
      <c r="AB97" s="54">
        <v>41.105192709809302</v>
      </c>
      <c r="AC97" s="68" t="s">
        <v>92</v>
      </c>
      <c r="AD97" s="68" t="s">
        <v>92</v>
      </c>
      <c r="AE97" s="15">
        <v>0.55141112171695406</v>
      </c>
      <c r="AF97" s="15">
        <v>0.76194991364524556</v>
      </c>
      <c r="AG97" s="15">
        <v>0.22056444868678166</v>
      </c>
      <c r="AH97" s="15">
        <v>0.63161637578487462</v>
      </c>
      <c r="AI97" s="304">
        <v>14.135672151</v>
      </c>
      <c r="AJ97" s="15"/>
    </row>
    <row r="98" spans="1:181">
      <c r="A98" s="7"/>
      <c r="B98" s="15"/>
      <c r="C98" s="15"/>
      <c r="D98" s="15"/>
      <c r="E98" s="60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6"/>
      <c r="X98" s="15"/>
      <c r="Y98" s="54"/>
      <c r="Z98" s="64"/>
      <c r="AA98" s="65"/>
      <c r="AB98" s="15"/>
      <c r="AC98" s="54"/>
      <c r="AD98" s="68"/>
      <c r="AE98" s="68"/>
      <c r="AF98" s="15"/>
      <c r="AG98" s="15"/>
      <c r="AH98" s="15"/>
      <c r="AI98" s="54"/>
      <c r="AJ98" s="15"/>
    </row>
    <row r="99" spans="1:181">
      <c r="A99" s="7"/>
      <c r="B99" s="15"/>
      <c r="C99" s="15"/>
      <c r="D99" s="15"/>
      <c r="E99" s="60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6"/>
      <c r="X99" s="15"/>
      <c r="Y99" s="54"/>
      <c r="Z99" s="64"/>
      <c r="AA99" s="65"/>
      <c r="AB99" s="15"/>
      <c r="AC99" s="54"/>
      <c r="AD99" s="68"/>
      <c r="AE99" s="68"/>
      <c r="AF99" s="15"/>
      <c r="AG99" s="15"/>
      <c r="AH99" s="15"/>
      <c r="AI99" s="15"/>
      <c r="AJ99" s="15"/>
    </row>
    <row r="100" spans="1:181" ht="18.75">
      <c r="A100" s="5"/>
      <c r="B100" s="91"/>
      <c r="C100" s="105" t="s">
        <v>173</v>
      </c>
      <c r="D100" s="91"/>
      <c r="E100" s="91"/>
      <c r="F100" s="259"/>
      <c r="G100" s="260"/>
      <c r="H100" s="260"/>
      <c r="I100" s="261"/>
      <c r="J100" s="260"/>
      <c r="K100" s="260"/>
      <c r="L100" s="260"/>
      <c r="M100" s="262" t="s">
        <v>172</v>
      </c>
      <c r="N100" s="260"/>
      <c r="O100" s="260"/>
      <c r="P100" s="260"/>
      <c r="Q100" s="260"/>
      <c r="R100" s="260"/>
      <c r="S100" s="260"/>
      <c r="T100" s="260"/>
      <c r="U100" s="260"/>
      <c r="V100" s="263"/>
      <c r="W100" s="95"/>
      <c r="X100" s="95"/>
      <c r="Y100" s="95"/>
      <c r="Z100" s="95"/>
      <c r="AA100" s="107" t="s">
        <v>175</v>
      </c>
      <c r="AB100" s="95"/>
      <c r="AC100" s="95"/>
      <c r="AD100" s="95"/>
      <c r="AE100" s="95"/>
      <c r="AF100" s="95"/>
      <c r="AG100" s="95"/>
      <c r="AH100" s="95"/>
      <c r="AI100" s="300"/>
      <c r="AJ100" s="15"/>
    </row>
    <row r="101" spans="1:181">
      <c r="A101" s="5"/>
      <c r="B101" s="91"/>
      <c r="C101" s="92" t="s">
        <v>39</v>
      </c>
      <c r="D101" s="91"/>
      <c r="E101" s="91"/>
      <c r="F101" s="259"/>
      <c r="G101" s="260"/>
      <c r="H101" s="260"/>
      <c r="I101" s="261"/>
      <c r="J101" s="260"/>
      <c r="K101" s="260"/>
      <c r="L101" s="260"/>
      <c r="M101" s="264" t="s">
        <v>179</v>
      </c>
      <c r="N101" s="260"/>
      <c r="O101" s="260"/>
      <c r="P101" s="260"/>
      <c r="Q101" s="260"/>
      <c r="R101" s="260"/>
      <c r="S101" s="260"/>
      <c r="T101" s="260"/>
      <c r="U101" s="260"/>
      <c r="V101" s="263"/>
      <c r="W101" s="95"/>
      <c r="X101" s="95"/>
      <c r="Y101" s="95"/>
      <c r="Z101" s="95"/>
      <c r="AA101" s="123" t="s">
        <v>179</v>
      </c>
      <c r="AB101" s="95"/>
      <c r="AC101" s="95"/>
      <c r="AD101" s="95"/>
      <c r="AE101" s="95"/>
      <c r="AF101" s="95"/>
      <c r="AG101" s="95"/>
      <c r="AH101" s="95"/>
      <c r="AI101" s="300"/>
      <c r="AJ101" s="15"/>
    </row>
    <row r="102" spans="1:181">
      <c r="A102" s="5"/>
      <c r="B102" s="119" t="s">
        <v>0</v>
      </c>
      <c r="C102" s="119" t="s">
        <v>1</v>
      </c>
      <c r="D102" s="119" t="s">
        <v>2</v>
      </c>
      <c r="E102" s="119" t="s">
        <v>3</v>
      </c>
      <c r="F102" s="316" t="s">
        <v>18</v>
      </c>
      <c r="G102" s="120" t="s">
        <v>19</v>
      </c>
      <c r="H102" s="120" t="s">
        <v>20</v>
      </c>
      <c r="I102" s="120" t="s">
        <v>21</v>
      </c>
      <c r="J102" s="120" t="s">
        <v>22</v>
      </c>
      <c r="K102" s="120" t="s">
        <v>23</v>
      </c>
      <c r="L102" s="120" t="s">
        <v>24</v>
      </c>
      <c r="M102" s="120" t="s">
        <v>25</v>
      </c>
      <c r="N102" s="120" t="s">
        <v>26</v>
      </c>
      <c r="O102" s="120" t="s">
        <v>27</v>
      </c>
      <c r="P102" s="120" t="s">
        <v>28</v>
      </c>
      <c r="Q102" s="120" t="s">
        <v>29</v>
      </c>
      <c r="R102" s="120" t="s">
        <v>30</v>
      </c>
      <c r="S102" s="120" t="s">
        <v>31</v>
      </c>
      <c r="T102" s="120" t="s">
        <v>32</v>
      </c>
      <c r="U102" s="120" t="s">
        <v>33</v>
      </c>
      <c r="V102" s="318" t="s">
        <v>17</v>
      </c>
      <c r="W102" s="121" t="s">
        <v>4</v>
      </c>
      <c r="X102" s="121" t="s">
        <v>5</v>
      </c>
      <c r="Y102" s="121" t="s">
        <v>6</v>
      </c>
      <c r="Z102" s="122" t="s">
        <v>7</v>
      </c>
      <c r="AA102" s="121" t="s">
        <v>8</v>
      </c>
      <c r="AB102" s="121" t="s">
        <v>9</v>
      </c>
      <c r="AC102" s="121" t="s">
        <v>10</v>
      </c>
      <c r="AD102" s="121" t="s">
        <v>11</v>
      </c>
      <c r="AE102" s="121" t="s">
        <v>12</v>
      </c>
      <c r="AF102" s="121" t="s">
        <v>13</v>
      </c>
      <c r="AG102" s="121" t="s">
        <v>14</v>
      </c>
      <c r="AH102" s="121" t="s">
        <v>15</v>
      </c>
      <c r="AI102" s="220" t="s">
        <v>16</v>
      </c>
      <c r="AJ102" s="15"/>
    </row>
    <row r="103" spans="1:181" s="33" customFormat="1" ht="13.5" thickBot="1">
      <c r="A103" s="35" t="s">
        <v>82</v>
      </c>
      <c r="B103" s="93" t="s">
        <v>93</v>
      </c>
      <c r="C103" s="93" t="s">
        <v>93</v>
      </c>
      <c r="D103" s="93" t="s">
        <v>93</v>
      </c>
      <c r="E103" s="93" t="s">
        <v>94</v>
      </c>
      <c r="F103" s="317" t="s">
        <v>93</v>
      </c>
      <c r="G103" s="94" t="s">
        <v>93</v>
      </c>
      <c r="H103" s="94" t="s">
        <v>93</v>
      </c>
      <c r="I103" s="94" t="s">
        <v>93</v>
      </c>
      <c r="J103" s="94" t="s">
        <v>93</v>
      </c>
      <c r="K103" s="94" t="s">
        <v>93</v>
      </c>
      <c r="L103" s="94" t="s">
        <v>93</v>
      </c>
      <c r="M103" s="94" t="s">
        <v>93</v>
      </c>
      <c r="N103" s="94" t="s">
        <v>93</v>
      </c>
      <c r="O103" s="94" t="s">
        <v>93</v>
      </c>
      <c r="P103" s="94" t="s">
        <v>93</v>
      </c>
      <c r="Q103" s="94" t="s">
        <v>93</v>
      </c>
      <c r="R103" s="94" t="s">
        <v>93</v>
      </c>
      <c r="S103" s="94" t="s">
        <v>93</v>
      </c>
      <c r="T103" s="94" t="s">
        <v>93</v>
      </c>
      <c r="U103" s="94" t="s">
        <v>93</v>
      </c>
      <c r="V103" s="319" t="s">
        <v>93</v>
      </c>
      <c r="W103" s="328" t="s">
        <v>93</v>
      </c>
      <c r="X103" s="329" t="s">
        <v>91</v>
      </c>
      <c r="Y103" s="330" t="s">
        <v>91</v>
      </c>
      <c r="Z103" s="331" t="s">
        <v>91</v>
      </c>
      <c r="AA103" s="330" t="s">
        <v>93</v>
      </c>
      <c r="AB103" s="330" t="s">
        <v>91</v>
      </c>
      <c r="AC103" s="330" t="s">
        <v>91</v>
      </c>
      <c r="AD103" s="330" t="s">
        <v>91</v>
      </c>
      <c r="AE103" s="330" t="s">
        <v>93</v>
      </c>
      <c r="AF103" s="330" t="s">
        <v>93</v>
      </c>
      <c r="AG103" s="330" t="s">
        <v>93</v>
      </c>
      <c r="AH103" s="330" t="s">
        <v>93</v>
      </c>
      <c r="AI103" s="332" t="s">
        <v>91</v>
      </c>
      <c r="AJ103" s="15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19"/>
      <c r="CP103" s="19"/>
      <c r="CQ103" s="19"/>
      <c r="CR103" s="19"/>
      <c r="CS103" s="19"/>
      <c r="CT103" s="19"/>
      <c r="CU103" s="19"/>
      <c r="CV103" s="19"/>
      <c r="CW103" s="19"/>
      <c r="CX103" s="19"/>
      <c r="CY103" s="19"/>
      <c r="CZ103" s="19"/>
      <c r="DA103" s="19"/>
      <c r="DB103" s="19"/>
      <c r="DC103" s="19"/>
      <c r="DD103" s="19"/>
      <c r="DE103" s="19"/>
      <c r="DF103" s="19"/>
      <c r="DG103" s="19"/>
      <c r="DH103" s="19"/>
      <c r="DI103" s="19"/>
      <c r="DJ103" s="19"/>
      <c r="DK103" s="19"/>
      <c r="DL103" s="19"/>
      <c r="DM103" s="19"/>
      <c r="DN103" s="19"/>
      <c r="DO103" s="19"/>
      <c r="DP103" s="19"/>
      <c r="DQ103" s="19"/>
      <c r="DR103" s="19"/>
      <c r="DS103" s="19"/>
      <c r="DT103" s="19"/>
      <c r="DU103" s="19"/>
      <c r="DV103" s="19"/>
      <c r="DW103" s="19"/>
      <c r="DX103" s="19"/>
      <c r="DY103" s="19"/>
      <c r="DZ103" s="19"/>
      <c r="EA103" s="19"/>
      <c r="EB103" s="19"/>
      <c r="EC103" s="19"/>
      <c r="ED103" s="19"/>
      <c r="EE103" s="19"/>
      <c r="EF103" s="19"/>
      <c r="EG103" s="19"/>
      <c r="EH103" s="19"/>
      <c r="EI103" s="19"/>
      <c r="EJ103" s="19"/>
      <c r="EK103" s="19"/>
      <c r="EL103" s="19"/>
      <c r="EM103" s="19"/>
      <c r="EN103" s="19"/>
      <c r="EO103" s="19"/>
      <c r="EP103" s="19"/>
      <c r="EQ103" s="19"/>
      <c r="ER103" s="19"/>
      <c r="ES103" s="19"/>
      <c r="ET103" s="19"/>
      <c r="EU103" s="19"/>
      <c r="EV103" s="19"/>
      <c r="EW103" s="19"/>
      <c r="EX103" s="19"/>
      <c r="EY103" s="19"/>
      <c r="EZ103" s="19"/>
      <c r="FA103" s="19"/>
      <c r="FB103" s="19"/>
      <c r="FC103" s="19"/>
      <c r="FD103" s="19"/>
      <c r="FE103" s="19"/>
      <c r="FF103" s="19"/>
      <c r="FG103" s="19"/>
      <c r="FH103" s="19"/>
      <c r="FI103" s="19"/>
      <c r="FJ103" s="19"/>
      <c r="FK103" s="19"/>
      <c r="FL103" s="19"/>
      <c r="FM103" s="19"/>
      <c r="FN103" s="19"/>
      <c r="FO103" s="19"/>
      <c r="FP103" s="19"/>
      <c r="FQ103" s="19"/>
      <c r="FR103" s="19"/>
      <c r="FS103" s="19"/>
      <c r="FT103" s="19"/>
      <c r="FU103" s="19"/>
      <c r="FV103" s="19"/>
      <c r="FW103" s="19"/>
      <c r="FX103" s="19"/>
      <c r="FY103" s="19"/>
    </row>
    <row r="104" spans="1:181">
      <c r="A104" s="279" t="s">
        <v>195</v>
      </c>
      <c r="B104" s="54">
        <v>91.431970978158006</v>
      </c>
      <c r="C104" s="54">
        <v>6.2837224881556777</v>
      </c>
      <c r="D104" s="54">
        <v>69.188052410148799</v>
      </c>
      <c r="E104" s="60">
        <v>4716.6899999999996</v>
      </c>
      <c r="F104" s="253">
        <v>4.6045162922340568</v>
      </c>
      <c r="G104" s="20">
        <v>4.8341952521792235</v>
      </c>
      <c r="H104" s="20">
        <v>6.5403818117718906</v>
      </c>
      <c r="I104" s="20">
        <v>9.5808937577126692</v>
      </c>
      <c r="J104" s="20">
        <v>5.1732451454316131</v>
      </c>
      <c r="K104" s="20">
        <v>1.5202559729703893</v>
      </c>
      <c r="L104" s="20">
        <v>2.8436442659877788</v>
      </c>
      <c r="M104" s="20">
        <v>5.1623080521008902</v>
      </c>
      <c r="N104" s="20">
        <v>4.5826421055726128</v>
      </c>
      <c r="O104" s="20">
        <v>2.0561735461757782</v>
      </c>
      <c r="P104" s="20">
        <v>2.8873926393106677</v>
      </c>
      <c r="Q104" s="20">
        <v>3.8061084790913347</v>
      </c>
      <c r="R104" s="20">
        <v>3.1608199725787234</v>
      </c>
      <c r="S104" s="20">
        <v>3.2045683459016119</v>
      </c>
      <c r="T104" s="20">
        <v>2.4389718127510562</v>
      </c>
      <c r="U104" s="20">
        <v>3.6967375457841123</v>
      </c>
      <c r="V104" s="268">
        <v>66.092854997554397</v>
      </c>
      <c r="W104" s="15">
        <v>6.9997397316622241</v>
      </c>
      <c r="X104" s="15">
        <v>1.5311930663011115</v>
      </c>
      <c r="Y104" s="54">
        <v>50.310629321322224</v>
      </c>
      <c r="Z104" s="64">
        <v>1312.451199686667</v>
      </c>
      <c r="AA104" s="15">
        <v>0.29530151992950004</v>
      </c>
      <c r="AB104" s="54">
        <v>84.215618646561154</v>
      </c>
      <c r="AC104" s="68" t="s">
        <v>92</v>
      </c>
      <c r="AD104" s="68" t="s">
        <v>92</v>
      </c>
      <c r="AE104" s="15">
        <v>4.37483733228889</v>
      </c>
      <c r="AF104" s="15">
        <v>0.89684165311922248</v>
      </c>
      <c r="AG104" s="15">
        <v>0.64528850651261127</v>
      </c>
      <c r="AH104" s="15">
        <v>1.0171496797571669</v>
      </c>
      <c r="AI104" s="304">
        <v>12.030802663794448</v>
      </c>
      <c r="AJ104" s="15"/>
      <c r="DV104" s="19"/>
      <c r="DW104" s="19"/>
      <c r="DX104" s="19"/>
      <c r="DY104" s="19"/>
      <c r="DZ104" s="19"/>
      <c r="EA104" s="19"/>
      <c r="EB104" s="19"/>
      <c r="EC104" s="19"/>
      <c r="ED104" s="19"/>
      <c r="EE104" s="19"/>
      <c r="EF104" s="19"/>
      <c r="EG104" s="19"/>
      <c r="EH104" s="19"/>
      <c r="EI104" s="19"/>
      <c r="EJ104" s="19"/>
      <c r="EK104" s="19"/>
      <c r="EL104" s="19"/>
      <c r="EM104" s="19"/>
      <c r="EN104" s="19"/>
      <c r="EO104" s="19"/>
      <c r="EP104" s="19"/>
      <c r="EQ104" s="19"/>
      <c r="ER104" s="19"/>
      <c r="ES104" s="19"/>
      <c r="ET104" s="19"/>
      <c r="EU104" s="19"/>
      <c r="EV104" s="19"/>
      <c r="EW104" s="19"/>
      <c r="EX104" s="19"/>
      <c r="EY104" s="19"/>
      <c r="EZ104" s="19"/>
      <c r="FA104" s="19"/>
      <c r="FB104" s="19"/>
      <c r="FC104" s="19"/>
      <c r="FD104" s="19"/>
      <c r="FE104" s="19"/>
      <c r="FF104" s="19"/>
      <c r="FG104" s="19"/>
      <c r="FH104" s="19"/>
      <c r="FI104" s="19"/>
      <c r="FJ104" s="19"/>
      <c r="FK104" s="19"/>
      <c r="FL104" s="19"/>
      <c r="FM104" s="19"/>
      <c r="FN104" s="19"/>
      <c r="FO104" s="19"/>
      <c r="FP104" s="19"/>
      <c r="FQ104" s="19"/>
      <c r="FR104" s="19"/>
      <c r="FS104" s="19"/>
      <c r="FT104" s="19"/>
      <c r="FU104" s="19"/>
      <c r="FV104" s="19"/>
      <c r="FW104" s="19"/>
      <c r="FX104" s="19"/>
      <c r="FY104" s="19"/>
    </row>
    <row r="105" spans="1:181">
      <c r="A105" s="275" t="s">
        <v>200</v>
      </c>
      <c r="B105" s="54">
        <v>93.519241320066897</v>
      </c>
      <c r="C105" s="54">
        <v>2.6917376008741427</v>
      </c>
      <c r="D105" s="54">
        <v>30.464853647060806</v>
      </c>
      <c r="E105" s="60">
        <v>4629.04</v>
      </c>
      <c r="F105" s="253">
        <v>1.8285007190633364</v>
      </c>
      <c r="G105" s="20">
        <v>1.8285007190633364</v>
      </c>
      <c r="H105" s="20">
        <v>1.9995885056423619</v>
      </c>
      <c r="I105" s="20">
        <v>2.8550274385374901</v>
      </c>
      <c r="J105" s="20">
        <v>1.3259303459874485</v>
      </c>
      <c r="K105" s="20">
        <v>0.97306178616820826</v>
      </c>
      <c r="L105" s="20">
        <v>1.4221672259381506</v>
      </c>
      <c r="M105" s="20">
        <v>3.3255188516298104</v>
      </c>
      <c r="N105" s="20">
        <v>1.1655355460696122</v>
      </c>
      <c r="O105" s="20">
        <v>0.50257037307588781</v>
      </c>
      <c r="P105" s="20">
        <v>1.571869039194798</v>
      </c>
      <c r="Q105" s="20">
        <v>1.7429568257738235</v>
      </c>
      <c r="R105" s="20">
        <v>1.78572877241858</v>
      </c>
      <c r="S105" s="20">
        <v>1.6681059191454999</v>
      </c>
      <c r="T105" s="20">
        <v>1.5504830658724198</v>
      </c>
      <c r="U105" s="20">
        <v>2.1065183722542531</v>
      </c>
      <c r="V105" s="268">
        <v>27.652063505835006</v>
      </c>
      <c r="W105" s="15">
        <v>0.12831583993426923</v>
      </c>
      <c r="X105" s="18" t="s">
        <v>174</v>
      </c>
      <c r="Y105" s="54">
        <v>149.70181325664743</v>
      </c>
      <c r="Z105" s="64">
        <v>171.08778657902562</v>
      </c>
      <c r="AA105" s="15">
        <v>0.53464933305945495</v>
      </c>
      <c r="AB105" s="54">
        <v>17.108778657902562</v>
      </c>
      <c r="AC105" s="68" t="s">
        <v>92</v>
      </c>
      <c r="AD105" s="68" t="s">
        <v>92</v>
      </c>
      <c r="AE105" s="15">
        <v>1.3900882659545832</v>
      </c>
      <c r="AF105" s="15">
        <v>2.031667465625929</v>
      </c>
      <c r="AG105" s="15">
        <v>0.29940362651329477</v>
      </c>
      <c r="AH105" s="15">
        <v>1.3900882659545832</v>
      </c>
      <c r="AI105" s="304">
        <v>5.5603530638183329</v>
      </c>
      <c r="AJ105" s="15"/>
      <c r="DV105" s="19"/>
      <c r="DW105" s="19"/>
      <c r="DX105" s="19"/>
      <c r="DY105" s="19"/>
      <c r="DZ105" s="19"/>
      <c r="EA105" s="19"/>
      <c r="EB105" s="19"/>
      <c r="EC105" s="19"/>
      <c r="ED105" s="19"/>
      <c r="EE105" s="19"/>
      <c r="EF105" s="19"/>
      <c r="EG105" s="19"/>
      <c r="EH105" s="19"/>
      <c r="EI105" s="19"/>
      <c r="EJ105" s="19"/>
      <c r="EK105" s="19"/>
      <c r="EL105" s="19"/>
      <c r="EM105" s="19"/>
      <c r="EN105" s="19"/>
      <c r="EO105" s="19"/>
      <c r="EP105" s="19"/>
      <c r="EQ105" s="19"/>
      <c r="ER105" s="19"/>
      <c r="ES105" s="19"/>
      <c r="ET105" s="19"/>
      <c r="EU105" s="19"/>
      <c r="EV105" s="19"/>
      <c r="EW105" s="19"/>
      <c r="EX105" s="19"/>
      <c r="EY105" s="19"/>
      <c r="EZ105" s="19"/>
      <c r="FA105" s="19"/>
      <c r="FB105" s="19"/>
      <c r="FC105" s="19"/>
      <c r="FD105" s="19"/>
      <c r="FE105" s="19"/>
      <c r="FF105" s="19"/>
      <c r="FG105" s="19"/>
      <c r="FH105" s="19"/>
      <c r="FI105" s="19"/>
      <c r="FJ105" s="19"/>
      <c r="FK105" s="19"/>
      <c r="FL105" s="19"/>
      <c r="FM105" s="19"/>
      <c r="FN105" s="19"/>
      <c r="FO105" s="19"/>
      <c r="FP105" s="19"/>
      <c r="FQ105" s="19"/>
      <c r="FR105" s="19"/>
      <c r="FS105" s="19"/>
      <c r="FT105" s="19"/>
      <c r="FU105" s="19"/>
      <c r="FV105" s="19"/>
      <c r="FW105" s="19"/>
      <c r="FX105" s="19"/>
      <c r="FY105" s="19"/>
    </row>
    <row r="106" spans="1:181">
      <c r="A106" s="275" t="s">
        <v>201</v>
      </c>
      <c r="B106" s="54">
        <v>77.531957647748428</v>
      </c>
      <c r="C106" s="54">
        <v>7.111926744228259</v>
      </c>
      <c r="D106" s="54">
        <v>16.672479829193882</v>
      </c>
      <c r="E106" s="60">
        <v>3975.76</v>
      </c>
      <c r="F106" s="253">
        <v>0.95186555633350745</v>
      </c>
      <c r="G106" s="20">
        <v>1.4871287079302631</v>
      </c>
      <c r="H106" s="20">
        <v>1.153072909704818</v>
      </c>
      <c r="I106" s="20">
        <v>1.91146985702745</v>
      </c>
      <c r="J106" s="20">
        <v>1.1246975137165562</v>
      </c>
      <c r="K106" s="20">
        <v>0.5971731064802358</v>
      </c>
      <c r="L106" s="20">
        <v>0.35598224058001093</v>
      </c>
      <c r="M106" s="20">
        <v>0.61265059520110576</v>
      </c>
      <c r="N106" s="20">
        <v>0.90543309017089724</v>
      </c>
      <c r="O106" s="20">
        <v>0.10834242104609029</v>
      </c>
      <c r="P106" s="20">
        <v>0.3314762167719667</v>
      </c>
      <c r="Q106" s="20">
        <v>0.58040582703262655</v>
      </c>
      <c r="R106" s="20">
        <v>0.89898413653720144</v>
      </c>
      <c r="S106" s="20">
        <v>0.91704120671154987</v>
      </c>
      <c r="T106" s="20">
        <v>0.4540063358121878</v>
      </c>
      <c r="U106" s="20">
        <v>0.64618515409632427</v>
      </c>
      <c r="V106" s="268">
        <v>13.035914875152791</v>
      </c>
      <c r="W106" s="15">
        <v>0.10189346741239443</v>
      </c>
      <c r="X106" s="15">
        <v>0.63199745610219338</v>
      </c>
      <c r="Y106" s="54">
        <v>114.79137467978616</v>
      </c>
      <c r="Z106" s="64">
        <v>309.54977441740084</v>
      </c>
      <c r="AA106" s="15">
        <v>3.0954977441740086</v>
      </c>
      <c r="AB106" s="54">
        <v>112.21179322630778</v>
      </c>
      <c r="AC106" s="68" t="s">
        <v>92</v>
      </c>
      <c r="AD106" s="54">
        <f>0.0109632211772829*10000</f>
        <v>109.63221177282901</v>
      </c>
      <c r="AE106" s="15">
        <v>6.8358908517176005</v>
      </c>
      <c r="AF106" s="15">
        <v>10.963221177282946</v>
      </c>
      <c r="AG106" s="15">
        <v>1.2510970049369952</v>
      </c>
      <c r="AH106" s="15">
        <v>5.8040582703262649</v>
      </c>
      <c r="AI106" s="304">
        <v>34.824349621957595</v>
      </c>
      <c r="AJ106" s="15"/>
      <c r="DV106" s="19"/>
      <c r="DW106" s="19"/>
      <c r="DX106" s="19"/>
      <c r="DY106" s="19"/>
      <c r="DZ106" s="19"/>
      <c r="EA106" s="19"/>
      <c r="EB106" s="19"/>
      <c r="EC106" s="19"/>
      <c r="ED106" s="19"/>
      <c r="EE106" s="19"/>
      <c r="EF106" s="19"/>
      <c r="EG106" s="19"/>
      <c r="EH106" s="19"/>
      <c r="EI106" s="19"/>
      <c r="EJ106" s="19"/>
      <c r="EK106" s="19"/>
      <c r="EL106" s="19"/>
      <c r="EM106" s="19"/>
      <c r="EN106" s="19"/>
      <c r="EO106" s="19"/>
      <c r="EP106" s="19"/>
      <c r="EQ106" s="19"/>
      <c r="ER106" s="19"/>
      <c r="ES106" s="19"/>
      <c r="ET106" s="19"/>
      <c r="EU106" s="19"/>
      <c r="EV106" s="19"/>
      <c r="EW106" s="19"/>
      <c r="EX106" s="19"/>
      <c r="EY106" s="19"/>
      <c r="EZ106" s="19"/>
      <c r="FA106" s="19"/>
      <c r="FB106" s="19"/>
      <c r="FC106" s="19"/>
      <c r="FD106" s="19"/>
      <c r="FE106" s="19"/>
      <c r="FF106" s="19"/>
      <c r="FG106" s="19"/>
      <c r="FH106" s="19"/>
      <c r="FI106" s="19"/>
      <c r="FJ106" s="19"/>
      <c r="FK106" s="19"/>
      <c r="FL106" s="19"/>
      <c r="FM106" s="19"/>
      <c r="FN106" s="19"/>
      <c r="FO106" s="19"/>
      <c r="FP106" s="19"/>
      <c r="FQ106" s="19"/>
      <c r="FR106" s="19"/>
      <c r="FS106" s="19"/>
      <c r="FT106" s="19"/>
      <c r="FU106" s="19"/>
      <c r="FV106" s="19"/>
      <c r="FW106" s="19"/>
      <c r="FX106" s="19"/>
      <c r="FY106" s="19"/>
    </row>
    <row r="107" spans="1:181">
      <c r="A107" s="275" t="s">
        <v>156</v>
      </c>
      <c r="B107" s="54">
        <v>94.06884934910444</v>
      </c>
      <c r="C107" s="54">
        <v>3.0095193600844579</v>
      </c>
      <c r="D107" s="54">
        <v>37.996637832096802</v>
      </c>
      <c r="E107" s="60">
        <v>4175.53</v>
      </c>
      <c r="F107" s="253">
        <v>2.4131261471857379</v>
      </c>
      <c r="G107" s="20">
        <v>2.1048413089990134</v>
      </c>
      <c r="H107" s="20">
        <v>3.1041094051904645</v>
      </c>
      <c r="I107" s="20">
        <v>3.2848281034378548</v>
      </c>
      <c r="J107" s="20">
        <v>1.9347531224132348</v>
      </c>
      <c r="K107" s="20">
        <v>0.55278660640378141</v>
      </c>
      <c r="L107" s="20">
        <v>1.4138580509942869</v>
      </c>
      <c r="M107" s="20">
        <v>2.7851940553421293</v>
      </c>
      <c r="N107" s="20">
        <v>1.6264682842265106</v>
      </c>
      <c r="O107" s="20">
        <v>0.49963404809572548</v>
      </c>
      <c r="P107" s="20">
        <v>1.8390785174587341</v>
      </c>
      <c r="Q107" s="20">
        <v>1.5520547025952323</v>
      </c>
      <c r="R107" s="20">
        <v>1.5733157259184547</v>
      </c>
      <c r="S107" s="20">
        <v>1.8603395407819565</v>
      </c>
      <c r="T107" s="20">
        <v>1.1799867944388411</v>
      </c>
      <c r="U107" s="20">
        <v>2.0835802856757915</v>
      </c>
      <c r="V107" s="268">
        <v>29.807954699157754</v>
      </c>
      <c r="W107" s="15">
        <v>2.3387125655544598</v>
      </c>
      <c r="X107" s="15">
        <v>5.634171180653925</v>
      </c>
      <c r="Y107" s="54">
        <v>382.69841981800249</v>
      </c>
      <c r="Z107" s="64">
        <v>12756.613993933415</v>
      </c>
      <c r="AA107" s="15">
        <v>0.74413581631278258</v>
      </c>
      <c r="AB107" s="54">
        <v>255.13227987866833</v>
      </c>
      <c r="AC107" s="68" t="s">
        <v>92</v>
      </c>
      <c r="AD107" s="54">
        <f>0.00170088186585779*10000</f>
        <v>17.008818658577901</v>
      </c>
      <c r="AE107" s="15">
        <v>0.99926809619145096</v>
      </c>
      <c r="AF107" s="15">
        <v>0.98863758452983974</v>
      </c>
      <c r="AG107" s="15">
        <v>0.38269841981800246</v>
      </c>
      <c r="AH107" s="15">
        <v>0.51026455975733664</v>
      </c>
      <c r="AI107" s="304">
        <v>10.524206544995067</v>
      </c>
      <c r="AJ107" s="15"/>
      <c r="DV107" s="19"/>
      <c r="DW107" s="19"/>
      <c r="DX107" s="19"/>
      <c r="DY107" s="19"/>
      <c r="DZ107" s="19"/>
      <c r="EA107" s="19"/>
      <c r="EB107" s="19"/>
      <c r="EC107" s="19"/>
      <c r="ED107" s="19"/>
      <c r="EE107" s="19"/>
      <c r="EF107" s="19"/>
      <c r="EG107" s="19"/>
      <c r="EH107" s="19"/>
      <c r="EI107" s="19"/>
      <c r="EJ107" s="19"/>
      <c r="EK107" s="19"/>
      <c r="EL107" s="19"/>
      <c r="EM107" s="19"/>
      <c r="EN107" s="19"/>
      <c r="EO107" s="19"/>
      <c r="EP107" s="19"/>
      <c r="EQ107" s="19"/>
      <c r="ER107" s="19"/>
      <c r="ES107" s="19"/>
      <c r="ET107" s="19"/>
      <c r="EU107" s="19"/>
      <c r="EV107" s="19"/>
      <c r="EW107" s="19"/>
      <c r="EX107" s="19"/>
      <c r="EY107" s="19"/>
      <c r="EZ107" s="19"/>
      <c r="FA107" s="19"/>
      <c r="FB107" s="19"/>
      <c r="FC107" s="19"/>
      <c r="FD107" s="19"/>
      <c r="FE107" s="19"/>
      <c r="FF107" s="19"/>
      <c r="FG107" s="19"/>
      <c r="FH107" s="19"/>
      <c r="FI107" s="19"/>
      <c r="FJ107" s="19"/>
      <c r="FK107" s="19"/>
      <c r="FL107" s="19"/>
      <c r="FM107" s="19"/>
      <c r="FN107" s="19"/>
      <c r="FO107" s="19"/>
      <c r="FP107" s="19"/>
      <c r="FQ107" s="19"/>
      <c r="FR107" s="19"/>
      <c r="FS107" s="19"/>
      <c r="FT107" s="19"/>
      <c r="FU107" s="19"/>
      <c r="FV107" s="19"/>
      <c r="FW107" s="19"/>
      <c r="FX107" s="19"/>
      <c r="FY107" s="19"/>
    </row>
    <row r="108" spans="1:181">
      <c r="A108" s="280" t="s">
        <v>72</v>
      </c>
      <c r="B108" s="54">
        <v>86.418270840868587</v>
      </c>
      <c r="C108" s="54">
        <v>5.53867165885001</v>
      </c>
      <c r="D108" s="54">
        <v>71.319987544639147</v>
      </c>
      <c r="E108" s="60">
        <v>5825.31</v>
      </c>
      <c r="F108" s="253">
        <v>4.5592210555278907</v>
      </c>
      <c r="G108" s="20">
        <v>5.4270930838644187</v>
      </c>
      <c r="H108" s="20">
        <v>7.5447008330055443</v>
      </c>
      <c r="I108" s="20">
        <v>10.067315528703716</v>
      </c>
      <c r="J108" s="20">
        <v>3.969068076259052</v>
      </c>
      <c r="K108" s="20">
        <v>1.7473156837175419</v>
      </c>
      <c r="L108" s="20">
        <v>3.3326285888122653</v>
      </c>
      <c r="M108" s="20">
        <v>5.9131014197328735</v>
      </c>
      <c r="N108" s="20">
        <v>4.119499227837383</v>
      </c>
      <c r="O108" s="20">
        <v>1.3654519912494698</v>
      </c>
      <c r="P108" s="20">
        <v>3.4714881133461097</v>
      </c>
      <c r="Q108" s="20">
        <v>3.2400555724563689</v>
      </c>
      <c r="R108" s="20">
        <v>3.945924822170078</v>
      </c>
      <c r="S108" s="20">
        <v>3.8996383139921296</v>
      </c>
      <c r="T108" s="20">
        <v>2.835048625899323</v>
      </c>
      <c r="U108" s="20">
        <v>4.1079276007928964</v>
      </c>
      <c r="V108" s="268">
        <v>69.54547853736706</v>
      </c>
      <c r="W108" s="15">
        <v>0.40500694655704611</v>
      </c>
      <c r="X108" s="15">
        <v>7.4058413084716994</v>
      </c>
      <c r="Y108" s="54">
        <v>150.4311515783314</v>
      </c>
      <c r="Z108" s="64">
        <v>705.869249713709</v>
      </c>
      <c r="AA108" s="15">
        <v>0.17357440566730545</v>
      </c>
      <c r="AB108" s="54">
        <v>49.757996291294226</v>
      </c>
      <c r="AC108" s="68" t="s">
        <v>92</v>
      </c>
      <c r="AD108" s="54">
        <f>0.000266147422023202*10000</f>
        <v>2.6614742202320198</v>
      </c>
      <c r="AE108" s="15">
        <v>1.122447823315242</v>
      </c>
      <c r="AF108" s="15">
        <v>0.94887341764793653</v>
      </c>
      <c r="AG108" s="15">
        <v>0.49757996291294238</v>
      </c>
      <c r="AH108" s="15">
        <v>1.0530180610483202</v>
      </c>
      <c r="AI108" s="304">
        <v>16.200277862281848</v>
      </c>
      <c r="AJ108" s="15"/>
      <c r="DV108" s="19"/>
      <c r="DW108" s="19"/>
      <c r="DX108" s="19"/>
      <c r="DY108" s="19"/>
      <c r="DZ108" s="19"/>
      <c r="EA108" s="19"/>
      <c r="EB108" s="19"/>
      <c r="EC108" s="19"/>
      <c r="ED108" s="19"/>
      <c r="EE108" s="19"/>
      <c r="EF108" s="19"/>
      <c r="EG108" s="19"/>
      <c r="EH108" s="19"/>
      <c r="EI108" s="19"/>
      <c r="EJ108" s="19"/>
      <c r="EK108" s="19"/>
      <c r="EL108" s="19"/>
      <c r="EM108" s="19"/>
      <c r="EN108" s="19"/>
      <c r="EO108" s="19"/>
      <c r="EP108" s="19"/>
      <c r="EQ108" s="19"/>
      <c r="ER108" s="19"/>
      <c r="ES108" s="19"/>
      <c r="ET108" s="19"/>
      <c r="EU108" s="19"/>
      <c r="EV108" s="19"/>
      <c r="EW108" s="19"/>
      <c r="EX108" s="19"/>
      <c r="EY108" s="19"/>
      <c r="EZ108" s="19"/>
      <c r="FA108" s="19"/>
      <c r="FB108" s="19"/>
      <c r="FC108" s="19"/>
      <c r="FD108" s="19"/>
      <c r="FE108" s="19"/>
      <c r="FF108" s="19"/>
      <c r="FG108" s="19"/>
      <c r="FH108" s="19"/>
      <c r="FI108" s="19"/>
      <c r="FJ108" s="19"/>
      <c r="FK108" s="19"/>
      <c r="FL108" s="19"/>
      <c r="FM108" s="19"/>
      <c r="FN108" s="19"/>
      <c r="FO108" s="19"/>
      <c r="FP108" s="19"/>
      <c r="FQ108" s="19"/>
      <c r="FR108" s="19"/>
      <c r="FS108" s="19"/>
      <c r="FT108" s="19"/>
      <c r="FU108" s="19"/>
      <c r="FV108" s="19"/>
      <c r="FW108" s="19"/>
      <c r="FX108" s="19"/>
      <c r="FY108" s="19"/>
    </row>
    <row r="109" spans="1:181">
      <c r="A109" s="280"/>
      <c r="B109" s="52"/>
      <c r="C109" s="52"/>
      <c r="D109" s="52"/>
      <c r="E109" s="56"/>
      <c r="F109" s="215"/>
      <c r="G109" s="19"/>
      <c r="H109" s="19"/>
      <c r="I109" s="172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269"/>
      <c r="W109" s="15"/>
      <c r="X109" s="15"/>
      <c r="Y109" s="54"/>
      <c r="Z109" s="64"/>
      <c r="AA109" s="14"/>
      <c r="AB109" s="54"/>
      <c r="AC109" s="52"/>
      <c r="AD109" s="54"/>
      <c r="AE109" s="15"/>
      <c r="AF109" s="14"/>
      <c r="AG109" s="15"/>
      <c r="AH109" s="15"/>
      <c r="AI109" s="304"/>
      <c r="AJ109" s="15"/>
      <c r="DV109" s="19"/>
      <c r="DW109" s="19"/>
      <c r="DX109" s="19"/>
      <c r="DY109" s="19"/>
      <c r="DZ109" s="19"/>
      <c r="EA109" s="19"/>
      <c r="EB109" s="19"/>
      <c r="EC109" s="19"/>
      <c r="ED109" s="19"/>
      <c r="EE109" s="19"/>
      <c r="EF109" s="19"/>
      <c r="EG109" s="19"/>
      <c r="EH109" s="19"/>
      <c r="EI109" s="19"/>
      <c r="EJ109" s="19"/>
      <c r="EK109" s="19"/>
      <c r="EL109" s="19"/>
      <c r="EM109" s="19"/>
      <c r="EN109" s="19"/>
      <c r="EO109" s="19"/>
      <c r="EP109" s="19"/>
      <c r="EQ109" s="19"/>
      <c r="ER109" s="19"/>
      <c r="ES109" s="19"/>
      <c r="ET109" s="19"/>
      <c r="EU109" s="19"/>
      <c r="EV109" s="19"/>
      <c r="EW109" s="19"/>
      <c r="EX109" s="19"/>
      <c r="EY109" s="19"/>
      <c r="EZ109" s="19"/>
      <c r="FA109" s="19"/>
      <c r="FB109" s="19"/>
      <c r="FC109" s="19"/>
      <c r="FD109" s="19"/>
      <c r="FE109" s="19"/>
      <c r="FF109" s="19"/>
      <c r="FG109" s="19"/>
      <c r="FH109" s="19"/>
      <c r="FI109" s="19"/>
      <c r="FJ109" s="19"/>
      <c r="FK109" s="19"/>
      <c r="FL109" s="19"/>
      <c r="FM109" s="19"/>
      <c r="FN109" s="19"/>
      <c r="FO109" s="19"/>
      <c r="FP109" s="19"/>
      <c r="FQ109" s="19"/>
      <c r="FR109" s="19"/>
      <c r="FS109" s="19"/>
      <c r="FT109" s="19"/>
      <c r="FU109" s="19"/>
      <c r="FV109" s="19"/>
      <c r="FW109" s="19"/>
      <c r="FX109" s="19"/>
      <c r="FY109" s="19"/>
    </row>
    <row r="110" spans="1:181">
      <c r="A110" s="277" t="s">
        <v>64</v>
      </c>
      <c r="B110" s="54">
        <v>89.494668538570863</v>
      </c>
      <c r="C110" s="54">
        <v>14.123553459155506</v>
      </c>
      <c r="D110" s="54">
        <v>49.203489681647113</v>
      </c>
      <c r="E110" s="60">
        <v>5692.7524658122584</v>
      </c>
      <c r="F110" s="253">
        <v>2.9163748440222772</v>
      </c>
      <c r="G110" s="20">
        <v>2.7934624942742117</v>
      </c>
      <c r="H110" s="20">
        <v>3.8102828421900248</v>
      </c>
      <c r="I110" s="20">
        <v>12.470016574440082</v>
      </c>
      <c r="J110" s="20">
        <v>1.832511396243883</v>
      </c>
      <c r="K110" s="20">
        <v>1.0838634477783942</v>
      </c>
      <c r="L110" s="20">
        <v>1.977771445946142</v>
      </c>
      <c r="M110" s="20">
        <v>5.519881888685843</v>
      </c>
      <c r="N110" s="20">
        <v>1.4861220469538807</v>
      </c>
      <c r="O110" s="20">
        <v>0.84921259825936046</v>
      </c>
      <c r="P110" s="20">
        <v>2.8940271440680836</v>
      </c>
      <c r="Q110" s="20">
        <v>4.6148000405409979</v>
      </c>
      <c r="R110" s="20">
        <v>2.9498963939535678</v>
      </c>
      <c r="S110" s="20">
        <v>1.9107283460835609</v>
      </c>
      <c r="T110" s="20">
        <v>2.2571176953735632</v>
      </c>
      <c r="U110" s="20">
        <v>2.4582469949613066</v>
      </c>
      <c r="V110" s="268">
        <v>51.824316193775189</v>
      </c>
      <c r="W110" s="15">
        <v>0.53634479890064868</v>
      </c>
      <c r="X110" s="15">
        <v>0.22347699954193695</v>
      </c>
      <c r="Y110" s="54">
        <v>368.73704924419599</v>
      </c>
      <c r="Z110" s="64">
        <v>245.82469949613065</v>
      </c>
      <c r="AA110" s="15">
        <v>0.17878159963354959</v>
      </c>
      <c r="AB110" s="54">
        <v>69.277869858000471</v>
      </c>
      <c r="AC110" s="68" t="s">
        <v>92</v>
      </c>
      <c r="AD110" s="54">
        <v>2.5699854947322748E-4</v>
      </c>
      <c r="AE110" s="15">
        <v>0.60338789876322985</v>
      </c>
      <c r="AF110" s="15">
        <v>0.96095109803032897</v>
      </c>
      <c r="AG110" s="15">
        <v>0.10838634477783941</v>
      </c>
      <c r="AH110" s="15">
        <v>0.84921259825936057</v>
      </c>
      <c r="AI110" s="304">
        <v>14.5260049702259</v>
      </c>
      <c r="AJ110" s="15"/>
      <c r="DV110" s="19"/>
      <c r="DW110" s="19"/>
      <c r="DX110" s="19"/>
      <c r="DY110" s="19"/>
      <c r="DZ110" s="19"/>
      <c r="EA110" s="19"/>
      <c r="EB110" s="19"/>
      <c r="EC110" s="19"/>
      <c r="ED110" s="19"/>
      <c r="EE110" s="19"/>
      <c r="EF110" s="19"/>
      <c r="EG110" s="19"/>
      <c r="EH110" s="19"/>
      <c r="EI110" s="19"/>
      <c r="EJ110" s="19"/>
      <c r="EK110" s="19"/>
      <c r="EL110" s="19"/>
      <c r="EM110" s="19"/>
      <c r="EN110" s="19"/>
      <c r="EO110" s="19"/>
      <c r="EP110" s="19"/>
      <c r="EQ110" s="19"/>
      <c r="ER110" s="19"/>
      <c r="ES110" s="19"/>
      <c r="ET110" s="19"/>
      <c r="EU110" s="19"/>
      <c r="EV110" s="19"/>
      <c r="EW110" s="19"/>
      <c r="EX110" s="19"/>
      <c r="EY110" s="19"/>
      <c r="EZ110" s="19"/>
      <c r="FA110" s="19"/>
      <c r="FB110" s="19"/>
      <c r="FC110" s="19"/>
      <c r="FD110" s="19"/>
      <c r="FE110" s="19"/>
      <c r="FF110" s="19"/>
      <c r="FG110" s="19"/>
      <c r="FH110" s="19"/>
      <c r="FI110" s="19"/>
      <c r="FJ110" s="19"/>
      <c r="FK110" s="19"/>
      <c r="FL110" s="19"/>
      <c r="FM110" s="19"/>
      <c r="FN110" s="19"/>
      <c r="FO110" s="19"/>
      <c r="FP110" s="19"/>
      <c r="FQ110" s="19"/>
      <c r="FR110" s="19"/>
      <c r="FS110" s="19"/>
      <c r="FT110" s="19"/>
      <c r="FU110" s="19"/>
      <c r="FV110" s="19"/>
      <c r="FW110" s="19"/>
      <c r="FX110" s="19"/>
      <c r="FY110" s="19"/>
    </row>
    <row r="111" spans="1:181">
      <c r="A111" s="5"/>
      <c r="E111" s="56"/>
      <c r="W111" s="15"/>
      <c r="X111" s="15"/>
      <c r="Y111" s="54"/>
      <c r="Z111" s="64"/>
      <c r="AB111" s="14"/>
      <c r="AC111" s="54"/>
      <c r="AD111" s="52"/>
      <c r="AE111" s="54"/>
      <c r="AF111" s="15"/>
      <c r="AH111" s="15"/>
      <c r="AI111" s="15"/>
      <c r="AJ111" s="15"/>
      <c r="DV111" s="19"/>
      <c r="DW111" s="19"/>
      <c r="DX111" s="19"/>
      <c r="DY111" s="19"/>
      <c r="DZ111" s="19"/>
      <c r="EA111" s="19"/>
      <c r="EB111" s="19"/>
      <c r="EC111" s="19"/>
      <c r="ED111" s="19"/>
      <c r="EE111" s="19"/>
      <c r="EF111" s="19"/>
      <c r="EG111" s="19"/>
      <c r="EH111" s="19"/>
      <c r="EI111" s="19"/>
      <c r="EJ111" s="19"/>
      <c r="EK111" s="19"/>
      <c r="EL111" s="19"/>
      <c r="EM111" s="19"/>
      <c r="EN111" s="19"/>
      <c r="EO111" s="19"/>
      <c r="EP111" s="19"/>
      <c r="EQ111" s="19"/>
      <c r="ER111" s="19"/>
      <c r="ES111" s="19"/>
      <c r="ET111" s="19"/>
      <c r="EU111" s="19"/>
      <c r="EV111" s="19"/>
      <c r="EW111" s="19"/>
      <c r="EX111" s="19"/>
      <c r="EY111" s="19"/>
      <c r="EZ111" s="19"/>
      <c r="FA111" s="19"/>
      <c r="FB111" s="19"/>
      <c r="FC111" s="19"/>
      <c r="FD111" s="19"/>
      <c r="FE111" s="19"/>
      <c r="FF111" s="19"/>
      <c r="FG111" s="19"/>
      <c r="FH111" s="19"/>
      <c r="FI111" s="19"/>
      <c r="FJ111" s="19"/>
      <c r="FK111" s="19"/>
      <c r="FL111" s="19"/>
      <c r="FM111" s="19"/>
      <c r="FN111" s="19"/>
      <c r="FO111" s="19"/>
      <c r="FP111" s="19"/>
      <c r="FQ111" s="19"/>
      <c r="FR111" s="19"/>
      <c r="FS111" s="19"/>
      <c r="FT111" s="19"/>
      <c r="FU111" s="19"/>
      <c r="FV111" s="19"/>
      <c r="FW111" s="19"/>
      <c r="FX111" s="19"/>
      <c r="FY111" s="19"/>
    </row>
    <row r="112" spans="1:181">
      <c r="A112" s="5"/>
      <c r="E112" s="56"/>
      <c r="W112" s="15"/>
      <c r="X112" s="15"/>
      <c r="Y112" s="54"/>
      <c r="Z112" s="64"/>
      <c r="AB112" s="14"/>
      <c r="AC112" s="54"/>
      <c r="AD112" s="52"/>
      <c r="AE112" s="54"/>
      <c r="AF112" s="15"/>
      <c r="AH112" s="15"/>
      <c r="AI112" s="15"/>
      <c r="AJ112" s="15"/>
      <c r="DV112" s="19"/>
      <c r="DW112" s="19"/>
      <c r="DX112" s="19"/>
      <c r="DY112" s="19"/>
      <c r="DZ112" s="19"/>
      <c r="EA112" s="19"/>
      <c r="EB112" s="19"/>
      <c r="EC112" s="19"/>
      <c r="ED112" s="19"/>
      <c r="EE112" s="19"/>
      <c r="EF112" s="19"/>
      <c r="EG112" s="19"/>
      <c r="EH112" s="19"/>
      <c r="EI112" s="19"/>
      <c r="EJ112" s="19"/>
      <c r="EK112" s="19"/>
      <c r="EL112" s="19"/>
      <c r="EM112" s="19"/>
      <c r="EN112" s="19"/>
      <c r="EO112" s="19"/>
      <c r="EP112" s="19"/>
      <c r="EQ112" s="19"/>
      <c r="ER112" s="19"/>
      <c r="ES112" s="19"/>
      <c r="ET112" s="19"/>
      <c r="EU112" s="19"/>
      <c r="EV112" s="19"/>
      <c r="EW112" s="19"/>
      <c r="EX112" s="19"/>
      <c r="EY112" s="19"/>
      <c r="EZ112" s="19"/>
      <c r="FA112" s="19"/>
      <c r="FB112" s="19"/>
      <c r="FC112" s="19"/>
      <c r="FD112" s="19"/>
      <c r="FE112" s="19"/>
      <c r="FF112" s="19"/>
      <c r="FG112" s="19"/>
      <c r="FH112" s="19"/>
      <c r="FI112" s="19"/>
      <c r="FJ112" s="19"/>
      <c r="FK112" s="19"/>
      <c r="FL112" s="19"/>
      <c r="FM112" s="19"/>
      <c r="FN112" s="19"/>
      <c r="FO112" s="19"/>
      <c r="FP112" s="19"/>
      <c r="FQ112" s="19"/>
      <c r="FR112" s="19"/>
      <c r="FS112" s="19"/>
      <c r="FT112" s="19"/>
      <c r="FU112" s="19"/>
      <c r="FV112" s="19"/>
      <c r="FW112" s="19"/>
      <c r="FX112" s="19"/>
      <c r="FY112" s="19"/>
    </row>
    <row r="113" spans="1:181" ht="18.75">
      <c r="A113" s="5"/>
      <c r="B113" s="91"/>
      <c r="C113" s="105" t="s">
        <v>173</v>
      </c>
      <c r="D113" s="91"/>
      <c r="E113" s="91"/>
      <c r="F113" s="259"/>
      <c r="G113" s="260"/>
      <c r="H113" s="260"/>
      <c r="I113" s="261"/>
      <c r="J113" s="260"/>
      <c r="K113" s="260"/>
      <c r="L113" s="260"/>
      <c r="M113" s="262" t="s">
        <v>172</v>
      </c>
      <c r="N113" s="260"/>
      <c r="O113" s="260"/>
      <c r="P113" s="260"/>
      <c r="Q113" s="260"/>
      <c r="R113" s="260"/>
      <c r="S113" s="260"/>
      <c r="T113" s="260"/>
      <c r="U113" s="260"/>
      <c r="V113" s="263"/>
      <c r="W113" s="95"/>
      <c r="X113" s="95"/>
      <c r="Y113" s="95"/>
      <c r="Z113" s="95"/>
      <c r="AA113" s="107" t="s">
        <v>175</v>
      </c>
      <c r="AB113" s="95"/>
      <c r="AC113" s="95"/>
      <c r="AD113" s="95"/>
      <c r="AE113" s="95"/>
      <c r="AF113" s="95"/>
      <c r="AG113" s="95"/>
      <c r="AH113" s="95"/>
      <c r="AI113" s="300"/>
      <c r="AJ113" s="15"/>
      <c r="DV113" s="19"/>
      <c r="DW113" s="19"/>
      <c r="DX113" s="19"/>
      <c r="DY113" s="19"/>
      <c r="DZ113" s="19"/>
      <c r="EA113" s="19"/>
      <c r="EB113" s="19"/>
      <c r="EC113" s="19"/>
      <c r="ED113" s="19"/>
      <c r="EE113" s="19"/>
      <c r="EF113" s="19"/>
      <c r="EG113" s="19"/>
      <c r="EH113" s="19"/>
      <c r="EI113" s="19"/>
      <c r="EJ113" s="19"/>
      <c r="EK113" s="19"/>
      <c r="EL113" s="19"/>
      <c r="EM113" s="19"/>
      <c r="EN113" s="19"/>
      <c r="EO113" s="19"/>
      <c r="EP113" s="19"/>
      <c r="EQ113" s="19"/>
      <c r="ER113" s="19"/>
      <c r="ES113" s="19"/>
      <c r="ET113" s="19"/>
      <c r="EU113" s="19"/>
      <c r="EV113" s="19"/>
      <c r="EW113" s="19"/>
      <c r="EX113" s="19"/>
      <c r="EY113" s="19"/>
      <c r="EZ113" s="19"/>
      <c r="FA113" s="19"/>
      <c r="FB113" s="19"/>
      <c r="FC113" s="19"/>
      <c r="FD113" s="19"/>
      <c r="FE113" s="19"/>
      <c r="FF113" s="19"/>
      <c r="FG113" s="19"/>
      <c r="FH113" s="19"/>
      <c r="FI113" s="19"/>
      <c r="FJ113" s="19"/>
      <c r="FK113" s="19"/>
      <c r="FL113" s="19"/>
      <c r="FM113" s="19"/>
      <c r="FN113" s="19"/>
      <c r="FO113" s="19"/>
      <c r="FP113" s="19"/>
      <c r="FQ113" s="19"/>
      <c r="FR113" s="19"/>
      <c r="FS113" s="19"/>
      <c r="FT113" s="19"/>
      <c r="FU113" s="19"/>
      <c r="FV113" s="19"/>
      <c r="FW113" s="19"/>
      <c r="FX113" s="19"/>
      <c r="FY113" s="19"/>
    </row>
    <row r="114" spans="1:181">
      <c r="A114" s="5"/>
      <c r="B114" s="91"/>
      <c r="C114" s="92" t="s">
        <v>39</v>
      </c>
      <c r="D114" s="91"/>
      <c r="E114" s="91"/>
      <c r="F114" s="259"/>
      <c r="G114" s="260"/>
      <c r="H114" s="260"/>
      <c r="I114" s="261"/>
      <c r="J114" s="260"/>
      <c r="K114" s="260"/>
      <c r="L114" s="260"/>
      <c r="M114" s="264" t="s">
        <v>179</v>
      </c>
      <c r="N114" s="260"/>
      <c r="O114" s="260"/>
      <c r="P114" s="260"/>
      <c r="Q114" s="260"/>
      <c r="R114" s="260"/>
      <c r="S114" s="260"/>
      <c r="T114" s="260"/>
      <c r="U114" s="260"/>
      <c r="V114" s="263"/>
      <c r="W114" s="95"/>
      <c r="X114" s="95"/>
      <c r="Y114" s="95"/>
      <c r="Z114" s="95"/>
      <c r="AA114" s="123" t="s">
        <v>179</v>
      </c>
      <c r="AB114" s="95"/>
      <c r="AC114" s="95"/>
      <c r="AD114" s="95"/>
      <c r="AE114" s="95"/>
      <c r="AF114" s="95"/>
      <c r="AG114" s="95"/>
      <c r="AH114" s="95"/>
      <c r="AI114" s="300"/>
      <c r="AJ114" s="15"/>
      <c r="DV114" s="19"/>
      <c r="DW114" s="19"/>
      <c r="DX114" s="19"/>
      <c r="DY114" s="19"/>
      <c r="DZ114" s="19"/>
      <c r="EA114" s="19"/>
      <c r="EB114" s="19"/>
      <c r="EC114" s="19"/>
      <c r="ED114" s="19"/>
      <c r="EE114" s="19"/>
      <c r="EF114" s="19"/>
      <c r="EG114" s="19"/>
      <c r="EH114" s="19"/>
      <c r="EI114" s="19"/>
      <c r="EJ114" s="19"/>
      <c r="EK114" s="19"/>
      <c r="EL114" s="19"/>
      <c r="EM114" s="19"/>
      <c r="EN114" s="19"/>
      <c r="EO114" s="19"/>
      <c r="EP114" s="19"/>
      <c r="EQ114" s="19"/>
      <c r="ER114" s="19"/>
      <c r="ES114" s="19"/>
      <c r="ET114" s="19"/>
      <c r="EU114" s="19"/>
      <c r="EV114" s="19"/>
      <c r="EW114" s="19"/>
      <c r="EX114" s="19"/>
      <c r="EY114" s="19"/>
      <c r="EZ114" s="19"/>
      <c r="FA114" s="19"/>
      <c r="FB114" s="19"/>
      <c r="FC114" s="19"/>
      <c r="FD114" s="19"/>
      <c r="FE114" s="19"/>
      <c r="FF114" s="19"/>
      <c r="FG114" s="19"/>
      <c r="FH114" s="19"/>
      <c r="FI114" s="19"/>
      <c r="FJ114" s="19"/>
      <c r="FK114" s="19"/>
      <c r="FL114" s="19"/>
      <c r="FM114" s="19"/>
      <c r="FN114" s="19"/>
      <c r="FO114" s="19"/>
      <c r="FP114" s="19"/>
      <c r="FQ114" s="19"/>
      <c r="FR114" s="19"/>
      <c r="FS114" s="19"/>
      <c r="FT114" s="19"/>
      <c r="FU114" s="19"/>
      <c r="FV114" s="19"/>
      <c r="FW114" s="19"/>
      <c r="FX114" s="19"/>
      <c r="FY114" s="19"/>
    </row>
    <row r="115" spans="1:181">
      <c r="A115" s="2"/>
      <c r="B115" s="119" t="s">
        <v>0</v>
      </c>
      <c r="C115" s="119" t="s">
        <v>1</v>
      </c>
      <c r="D115" s="119" t="s">
        <v>2</v>
      </c>
      <c r="E115" s="119" t="s">
        <v>3</v>
      </c>
      <c r="F115" s="316" t="s">
        <v>18</v>
      </c>
      <c r="G115" s="120" t="s">
        <v>19</v>
      </c>
      <c r="H115" s="120" t="s">
        <v>20</v>
      </c>
      <c r="I115" s="120" t="s">
        <v>21</v>
      </c>
      <c r="J115" s="120" t="s">
        <v>22</v>
      </c>
      <c r="K115" s="120" t="s">
        <v>23</v>
      </c>
      <c r="L115" s="120" t="s">
        <v>24</v>
      </c>
      <c r="M115" s="120" t="s">
        <v>25</v>
      </c>
      <c r="N115" s="120" t="s">
        <v>26</v>
      </c>
      <c r="O115" s="120" t="s">
        <v>27</v>
      </c>
      <c r="P115" s="120" t="s">
        <v>28</v>
      </c>
      <c r="Q115" s="120" t="s">
        <v>29</v>
      </c>
      <c r="R115" s="120" t="s">
        <v>30</v>
      </c>
      <c r="S115" s="120" t="s">
        <v>31</v>
      </c>
      <c r="T115" s="120" t="s">
        <v>32</v>
      </c>
      <c r="U115" s="120" t="s">
        <v>33</v>
      </c>
      <c r="V115" s="318" t="s">
        <v>17</v>
      </c>
      <c r="W115" s="121" t="s">
        <v>4</v>
      </c>
      <c r="X115" s="121" t="s">
        <v>5</v>
      </c>
      <c r="Y115" s="121" t="s">
        <v>6</v>
      </c>
      <c r="Z115" s="122" t="s">
        <v>7</v>
      </c>
      <c r="AA115" s="121" t="s">
        <v>8</v>
      </c>
      <c r="AB115" s="121" t="s">
        <v>9</v>
      </c>
      <c r="AC115" s="121" t="s">
        <v>10</v>
      </c>
      <c r="AD115" s="121" t="s">
        <v>11</v>
      </c>
      <c r="AE115" s="121" t="s">
        <v>12</v>
      </c>
      <c r="AF115" s="121" t="s">
        <v>13</v>
      </c>
      <c r="AG115" s="121" t="s">
        <v>14</v>
      </c>
      <c r="AH115" s="121" t="s">
        <v>15</v>
      </c>
      <c r="AI115" s="220" t="s">
        <v>16</v>
      </c>
      <c r="AJ115" s="15"/>
      <c r="DV115" s="19"/>
      <c r="DW115" s="19"/>
      <c r="DX115" s="19"/>
      <c r="DY115" s="19"/>
      <c r="DZ115" s="19"/>
      <c r="EA115" s="19"/>
      <c r="EB115" s="19"/>
      <c r="EC115" s="19"/>
      <c r="ED115" s="19"/>
      <c r="EE115" s="19"/>
      <c r="EF115" s="19"/>
      <c r="EG115" s="19"/>
      <c r="EH115" s="19"/>
      <c r="EI115" s="19"/>
      <c r="EJ115" s="19"/>
      <c r="EK115" s="19"/>
      <c r="EL115" s="19"/>
      <c r="EM115" s="19"/>
      <c r="EN115" s="19"/>
      <c r="EO115" s="19"/>
      <c r="EP115" s="19"/>
      <c r="EQ115" s="19"/>
      <c r="ER115" s="19"/>
      <c r="ES115" s="19"/>
      <c r="ET115" s="19"/>
      <c r="EU115" s="19"/>
      <c r="EV115" s="19"/>
      <c r="EW115" s="19"/>
      <c r="EX115" s="19"/>
      <c r="EY115" s="19"/>
      <c r="EZ115" s="19"/>
      <c r="FA115" s="19"/>
      <c r="FB115" s="19"/>
      <c r="FC115" s="19"/>
      <c r="FD115" s="19"/>
      <c r="FE115" s="19"/>
      <c r="FF115" s="19"/>
      <c r="FG115" s="19"/>
      <c r="FH115" s="19"/>
      <c r="FI115" s="19"/>
      <c r="FJ115" s="19"/>
      <c r="FK115" s="19"/>
      <c r="FL115" s="19"/>
      <c r="FM115" s="19"/>
      <c r="FN115" s="19"/>
      <c r="FO115" s="19"/>
      <c r="FP115" s="19"/>
      <c r="FQ115" s="19"/>
      <c r="FR115" s="19"/>
      <c r="FS115" s="19"/>
      <c r="FT115" s="19"/>
      <c r="FU115" s="19"/>
      <c r="FV115" s="19"/>
      <c r="FW115" s="19"/>
      <c r="FX115" s="19"/>
      <c r="FY115" s="19"/>
    </row>
    <row r="116" spans="1:181" s="33" customFormat="1" ht="13.5" thickBot="1">
      <c r="A116" s="36" t="s">
        <v>83</v>
      </c>
      <c r="B116" s="93" t="s">
        <v>93</v>
      </c>
      <c r="C116" s="93" t="s">
        <v>93</v>
      </c>
      <c r="D116" s="93" t="s">
        <v>93</v>
      </c>
      <c r="E116" s="93" t="s">
        <v>94</v>
      </c>
      <c r="F116" s="317" t="s">
        <v>93</v>
      </c>
      <c r="G116" s="94" t="s">
        <v>93</v>
      </c>
      <c r="H116" s="94" t="s">
        <v>93</v>
      </c>
      <c r="I116" s="94" t="s">
        <v>93</v>
      </c>
      <c r="J116" s="94" t="s">
        <v>93</v>
      </c>
      <c r="K116" s="94" t="s">
        <v>93</v>
      </c>
      <c r="L116" s="94" t="s">
        <v>93</v>
      </c>
      <c r="M116" s="94" t="s">
        <v>93</v>
      </c>
      <c r="N116" s="94" t="s">
        <v>93</v>
      </c>
      <c r="O116" s="94" t="s">
        <v>93</v>
      </c>
      <c r="P116" s="94" t="s">
        <v>93</v>
      </c>
      <c r="Q116" s="94" t="s">
        <v>93</v>
      </c>
      <c r="R116" s="94" t="s">
        <v>93</v>
      </c>
      <c r="S116" s="94" t="s">
        <v>93</v>
      </c>
      <c r="T116" s="94" t="s">
        <v>93</v>
      </c>
      <c r="U116" s="94" t="s">
        <v>93</v>
      </c>
      <c r="V116" s="319" t="s">
        <v>93</v>
      </c>
      <c r="W116" s="328" t="s">
        <v>93</v>
      </c>
      <c r="X116" s="329" t="s">
        <v>91</v>
      </c>
      <c r="Y116" s="330" t="s">
        <v>91</v>
      </c>
      <c r="Z116" s="331" t="s">
        <v>91</v>
      </c>
      <c r="AA116" s="330" t="s">
        <v>93</v>
      </c>
      <c r="AB116" s="330" t="s">
        <v>91</v>
      </c>
      <c r="AC116" s="330" t="s">
        <v>91</v>
      </c>
      <c r="AD116" s="330" t="s">
        <v>91</v>
      </c>
      <c r="AE116" s="330" t="s">
        <v>93</v>
      </c>
      <c r="AF116" s="330" t="s">
        <v>93</v>
      </c>
      <c r="AG116" s="330" t="s">
        <v>93</v>
      </c>
      <c r="AH116" s="330" t="s">
        <v>93</v>
      </c>
      <c r="AI116" s="332" t="s">
        <v>91</v>
      </c>
      <c r="AJ116" s="15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19"/>
      <c r="CP116" s="19"/>
      <c r="CQ116" s="19"/>
      <c r="CR116" s="19"/>
      <c r="CS116" s="19"/>
      <c r="CT116" s="19"/>
      <c r="CU116" s="19"/>
      <c r="CV116" s="19"/>
      <c r="CW116" s="19"/>
      <c r="CX116" s="19"/>
      <c r="CY116" s="19"/>
      <c r="CZ116" s="19"/>
      <c r="DA116" s="19"/>
      <c r="DB116" s="19"/>
      <c r="DC116" s="19"/>
      <c r="DD116" s="19"/>
      <c r="DE116" s="19"/>
      <c r="DF116" s="19"/>
      <c r="DG116" s="19"/>
      <c r="DH116" s="19"/>
      <c r="DI116" s="19"/>
      <c r="DJ116" s="19"/>
      <c r="DK116" s="19"/>
      <c r="DL116" s="19"/>
      <c r="DM116" s="19"/>
      <c r="DN116" s="19"/>
      <c r="DO116" s="19"/>
      <c r="DP116" s="19"/>
      <c r="DQ116" s="19"/>
      <c r="DR116" s="19"/>
      <c r="DS116" s="19"/>
      <c r="DT116" s="19"/>
      <c r="DU116" s="19"/>
      <c r="DV116" s="19"/>
      <c r="DW116" s="19"/>
      <c r="DX116" s="19"/>
      <c r="DY116" s="19"/>
      <c r="DZ116" s="19"/>
      <c r="EA116" s="19"/>
      <c r="EB116" s="19"/>
      <c r="EC116" s="19"/>
      <c r="ED116" s="19"/>
      <c r="EE116" s="19"/>
      <c r="EF116" s="19"/>
      <c r="EG116" s="19"/>
      <c r="EH116" s="19"/>
      <c r="EI116" s="19"/>
      <c r="EJ116" s="19"/>
      <c r="EK116" s="19"/>
      <c r="EL116" s="19"/>
      <c r="EM116" s="19"/>
      <c r="EN116" s="19"/>
      <c r="EO116" s="19"/>
      <c r="EP116" s="19"/>
      <c r="EQ116" s="19"/>
      <c r="ER116" s="19"/>
      <c r="ES116" s="19"/>
      <c r="ET116" s="19"/>
      <c r="EU116" s="19"/>
      <c r="EV116" s="19"/>
      <c r="EW116" s="19"/>
      <c r="EX116" s="19"/>
      <c r="EY116" s="19"/>
      <c r="EZ116" s="19"/>
      <c r="FA116" s="19"/>
      <c r="FB116" s="19"/>
      <c r="FC116" s="19"/>
      <c r="FD116" s="19"/>
      <c r="FE116" s="19"/>
      <c r="FF116" s="19"/>
      <c r="FG116" s="19"/>
      <c r="FH116" s="19"/>
      <c r="FI116" s="19"/>
      <c r="FJ116" s="19"/>
      <c r="FK116" s="19"/>
      <c r="FL116" s="19"/>
      <c r="FM116" s="19"/>
      <c r="FN116" s="19"/>
      <c r="FO116" s="19"/>
      <c r="FP116" s="19"/>
      <c r="FQ116" s="19"/>
      <c r="FR116" s="19"/>
      <c r="FS116" s="19"/>
      <c r="FT116" s="19"/>
      <c r="FU116" s="19"/>
      <c r="FV116" s="19"/>
      <c r="FW116" s="19"/>
      <c r="FX116" s="19"/>
      <c r="FY116" s="19"/>
    </row>
    <row r="117" spans="1:181">
      <c r="A117" s="283" t="s">
        <v>195</v>
      </c>
      <c r="B117" s="139">
        <v>93.481993394052836</v>
      </c>
      <c r="C117" s="138">
        <v>10.780637008759076</v>
      </c>
      <c r="D117" s="138">
        <v>68.747464262019605</v>
      </c>
      <c r="E117" s="61">
        <v>4777.3073592631736</v>
      </c>
      <c r="F117" s="253">
        <v>4.8137612781011603</v>
      </c>
      <c r="G117" s="20">
        <v>4.9849172346558683</v>
      </c>
      <c r="H117" s="20">
        <v>6.9104217458963326</v>
      </c>
      <c r="I117" s="20">
        <v>10.034017953019752</v>
      </c>
      <c r="J117" s="20">
        <v>5.2951374059112766</v>
      </c>
      <c r="K117" s="20">
        <v>1.572495350846379</v>
      </c>
      <c r="L117" s="20">
        <v>2.9845319924227192</v>
      </c>
      <c r="M117" s="20">
        <v>5.4555961151813142</v>
      </c>
      <c r="N117" s="20">
        <v>4.7602750416778141</v>
      </c>
      <c r="O117" s="20">
        <v>2.1501467042185181</v>
      </c>
      <c r="P117" s="20">
        <v>3.0273209815613962</v>
      </c>
      <c r="Q117" s="20">
        <v>3.8617062697655973</v>
      </c>
      <c r="R117" s="20">
        <v>3.3482384001014736</v>
      </c>
      <c r="S117" s="20">
        <v>3.3803301419554814</v>
      </c>
      <c r="T117" s="20">
        <v>2.5138531118972725</v>
      </c>
      <c r="U117" s="20">
        <v>3.8937980116196051</v>
      </c>
      <c r="V117" s="306">
        <v>68.986547738831945</v>
      </c>
      <c r="W117" s="15">
        <v>5.6695410608746997</v>
      </c>
      <c r="X117" s="15">
        <v>0.44928438595610831</v>
      </c>
      <c r="Y117" s="54">
        <v>35.300916039408513</v>
      </c>
      <c r="Z117" s="64">
        <v>887.87152462754727</v>
      </c>
      <c r="AA117" s="15">
        <v>0.25673393483206192</v>
      </c>
      <c r="AB117" s="54">
        <v>81.299079363486257</v>
      </c>
      <c r="AC117" s="68" t="s">
        <v>92</v>
      </c>
      <c r="AD117" s="68" t="s">
        <v>92</v>
      </c>
      <c r="AE117" s="15">
        <v>3.4231191310941584</v>
      </c>
      <c r="AF117" s="15">
        <v>0.99484399747423979</v>
      </c>
      <c r="AG117" s="15">
        <v>0.68462382621883167</v>
      </c>
      <c r="AH117" s="15">
        <v>0.82368804091953185</v>
      </c>
      <c r="AI117" s="308">
        <v>11.76697201313617</v>
      </c>
      <c r="AJ117" s="15"/>
      <c r="DV117" s="19"/>
      <c r="DW117" s="19"/>
      <c r="DX117" s="19"/>
      <c r="DY117" s="19"/>
      <c r="DZ117" s="19"/>
      <c r="EA117" s="19"/>
      <c r="EB117" s="19"/>
      <c r="EC117" s="19"/>
      <c r="ED117" s="19"/>
      <c r="EE117" s="19"/>
      <c r="EF117" s="19"/>
      <c r="EG117" s="19"/>
      <c r="EH117" s="19"/>
      <c r="EI117" s="19"/>
      <c r="EJ117" s="19"/>
      <c r="EK117" s="19"/>
      <c r="EL117" s="19"/>
      <c r="EM117" s="19"/>
      <c r="EN117" s="19"/>
      <c r="EO117" s="19"/>
      <c r="EP117" s="19"/>
      <c r="EQ117" s="19"/>
      <c r="ER117" s="19"/>
      <c r="ES117" s="19"/>
      <c r="ET117" s="19"/>
      <c r="EU117" s="19"/>
      <c r="EV117" s="19"/>
      <c r="EW117" s="19"/>
      <c r="EX117" s="19"/>
      <c r="EY117" s="19"/>
      <c r="EZ117" s="19"/>
      <c r="FA117" s="19"/>
      <c r="FB117" s="19"/>
      <c r="FC117" s="19"/>
      <c r="FD117" s="19"/>
      <c r="FE117" s="19"/>
      <c r="FF117" s="19"/>
      <c r="FG117" s="19"/>
      <c r="FH117" s="19"/>
      <c r="FI117" s="19"/>
      <c r="FJ117" s="19"/>
      <c r="FK117" s="19"/>
      <c r="FL117" s="19"/>
      <c r="FM117" s="19"/>
      <c r="FN117" s="19"/>
      <c r="FO117" s="19"/>
      <c r="FP117" s="19"/>
      <c r="FQ117" s="19"/>
      <c r="FR117" s="19"/>
      <c r="FS117" s="19"/>
      <c r="FT117" s="19"/>
      <c r="FU117" s="19"/>
      <c r="FV117" s="19"/>
      <c r="FW117" s="19"/>
      <c r="FX117" s="19"/>
      <c r="FY117" s="19"/>
    </row>
    <row r="118" spans="1:181">
      <c r="A118" s="284" t="s">
        <v>162</v>
      </c>
      <c r="B118" s="139">
        <v>95.860265161419974</v>
      </c>
      <c r="C118" s="138">
        <v>3.8454903847349229</v>
      </c>
      <c r="D118" s="138">
        <v>63.230056685044694</v>
      </c>
      <c r="E118" s="61">
        <v>5230.019384525699</v>
      </c>
      <c r="F118" s="253">
        <v>3.2547375022864831</v>
      </c>
      <c r="G118" s="20">
        <v>4.6421736811457848</v>
      </c>
      <c r="H118" s="20">
        <v>5.3202439941221353</v>
      </c>
      <c r="I118" s="20">
        <v>11.673241234162097</v>
      </c>
      <c r="J118" s="20">
        <v>3.6407159881345592</v>
      </c>
      <c r="K118" s="20">
        <v>1.6795280059875761</v>
      </c>
      <c r="L118" s="20">
        <v>2.8791908674072735</v>
      </c>
      <c r="M118" s="20">
        <v>5.3724032489664699</v>
      </c>
      <c r="N118" s="20">
        <v>2.7853042086874709</v>
      </c>
      <c r="O118" s="20">
        <v>1.2726858182017657</v>
      </c>
      <c r="P118" s="20">
        <v>3.1712826945355475</v>
      </c>
      <c r="Q118" s="20">
        <v>4.3813774069241118</v>
      </c>
      <c r="R118" s="20">
        <v>3.4007834158506198</v>
      </c>
      <c r="S118" s="20">
        <v>3.2651693532553496</v>
      </c>
      <c r="T118" s="20">
        <v>2.3367346170261931</v>
      </c>
      <c r="U118" s="20">
        <v>4.0684218778581034</v>
      </c>
      <c r="V118" s="306">
        <v>63.143993914551544</v>
      </c>
      <c r="W118" s="15">
        <v>0.76152512072728606</v>
      </c>
      <c r="X118" s="15">
        <v>0.15647776453300399</v>
      </c>
      <c r="Y118" s="54">
        <v>146.04591356413707</v>
      </c>
      <c r="Z118" s="64">
        <v>260.79627422167329</v>
      </c>
      <c r="AA118" s="15">
        <v>0.53202439941221358</v>
      </c>
      <c r="AB118" s="54">
        <v>81.368437557162068</v>
      </c>
      <c r="AC118" s="68" t="s">
        <v>92</v>
      </c>
      <c r="AD118" s="68" t="s">
        <v>92</v>
      </c>
      <c r="AE118" s="15">
        <v>1.0223213949489593</v>
      </c>
      <c r="AF118" s="15">
        <v>0.39641033681694343</v>
      </c>
      <c r="AG118" s="15">
        <v>0.63634290910088287</v>
      </c>
      <c r="AH118" s="15">
        <v>0.81368437557162065</v>
      </c>
      <c r="AI118" s="308">
        <v>10.327532459178263</v>
      </c>
      <c r="AJ118" s="15"/>
      <c r="DV118" s="19"/>
      <c r="DW118" s="19"/>
      <c r="DX118" s="19"/>
      <c r="DY118" s="19"/>
      <c r="DZ118" s="19"/>
      <c r="EA118" s="19"/>
      <c r="EB118" s="19"/>
      <c r="EC118" s="19"/>
      <c r="ED118" s="19"/>
      <c r="EE118" s="19"/>
      <c r="EF118" s="19"/>
      <c r="EG118" s="19"/>
      <c r="EH118" s="19"/>
      <c r="EI118" s="19"/>
      <c r="EJ118" s="19"/>
      <c r="EK118" s="19"/>
      <c r="EL118" s="19"/>
      <c r="EM118" s="19"/>
      <c r="EN118" s="19"/>
      <c r="EO118" s="19"/>
      <c r="EP118" s="19"/>
      <c r="EQ118" s="19"/>
      <c r="ER118" s="19"/>
      <c r="ES118" s="19"/>
      <c r="ET118" s="19"/>
      <c r="EU118" s="19"/>
      <c r="EV118" s="19"/>
      <c r="EW118" s="19"/>
      <c r="EX118" s="19"/>
      <c r="EY118" s="19"/>
      <c r="EZ118" s="19"/>
      <c r="FA118" s="19"/>
      <c r="FB118" s="19"/>
      <c r="FC118" s="19"/>
      <c r="FD118" s="19"/>
      <c r="FE118" s="19"/>
      <c r="FF118" s="19"/>
      <c r="FG118" s="19"/>
      <c r="FH118" s="19"/>
      <c r="FI118" s="19"/>
      <c r="FJ118" s="19"/>
      <c r="FK118" s="19"/>
      <c r="FL118" s="19"/>
      <c r="FM118" s="19"/>
      <c r="FN118" s="19"/>
      <c r="FO118" s="19"/>
      <c r="FP118" s="19"/>
      <c r="FQ118" s="19"/>
      <c r="FR118" s="19"/>
      <c r="FS118" s="19"/>
      <c r="FT118" s="19"/>
      <c r="FU118" s="19"/>
      <c r="FV118" s="19"/>
      <c r="FW118" s="19"/>
      <c r="FX118" s="19"/>
      <c r="FY118" s="19"/>
    </row>
    <row r="119" spans="1:181" s="17" customFormat="1">
      <c r="A119" s="286" t="s">
        <v>269</v>
      </c>
      <c r="B119" s="139">
        <v>92.812115919637307</v>
      </c>
      <c r="C119" s="138">
        <v>2.9454109843397789</v>
      </c>
      <c r="D119" s="138">
        <v>82.011383153797027</v>
      </c>
      <c r="E119" s="61">
        <v>5867.1913101464388</v>
      </c>
      <c r="F119" s="253">
        <v>8.0916159766281375</v>
      </c>
      <c r="G119" s="20">
        <v>2.962975224464365</v>
      </c>
      <c r="H119" s="20">
        <v>5.3010320379507911</v>
      </c>
      <c r="I119" s="20">
        <v>19.997389151294037</v>
      </c>
      <c r="J119" s="20">
        <v>2.3596057242098034</v>
      </c>
      <c r="K119" s="20">
        <v>1.6377172149766672</v>
      </c>
      <c r="L119" s="20">
        <v>3.3508556174851543</v>
      </c>
      <c r="M119" s="20">
        <v>15.084237506364039</v>
      </c>
      <c r="N119" s="20">
        <v>1.2067390005091232</v>
      </c>
      <c r="O119" s="20">
        <v>2.0902443401675881</v>
      </c>
      <c r="P119" s="20">
        <v>5.8397548060352209</v>
      </c>
      <c r="Q119" s="20">
        <v>9.4599718075625887</v>
      </c>
      <c r="R119" s="20">
        <v>5.376453225482611</v>
      </c>
      <c r="S119" s="20">
        <v>3.2646599745916456</v>
      </c>
      <c r="T119" s="20">
        <v>5.1286407521637729</v>
      </c>
      <c r="U119" s="20">
        <v>4.3636544214838828</v>
      </c>
      <c r="V119" s="306">
        <v>95.515546781369437</v>
      </c>
      <c r="W119" s="15">
        <v>3.4478257157403519E-2</v>
      </c>
      <c r="X119" s="15">
        <v>0</v>
      </c>
      <c r="Y119" s="54">
        <v>150.84237506364039</v>
      </c>
      <c r="Z119" s="64">
        <v>46.330158055260981</v>
      </c>
      <c r="AA119" s="15">
        <v>5.7104613416949578E-2</v>
      </c>
      <c r="AB119" s="54">
        <v>6.033695002545616</v>
      </c>
      <c r="AC119" s="68" t="s">
        <v>92</v>
      </c>
      <c r="AD119" s="68" t="s">
        <v>92</v>
      </c>
      <c r="AE119" s="15">
        <v>0.23703801795714918</v>
      </c>
      <c r="AF119" s="15">
        <v>0.14006791970195179</v>
      </c>
      <c r="AG119" s="15">
        <v>0.23703801795714918</v>
      </c>
      <c r="AH119" s="15">
        <v>1.07744553616886</v>
      </c>
      <c r="AI119" s="308">
        <v>5.8182058953118432</v>
      </c>
      <c r="AJ119" s="1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  <c r="BX119" s="25"/>
      <c r="BY119" s="25"/>
      <c r="BZ119" s="25"/>
      <c r="CA119" s="25"/>
      <c r="CB119" s="25"/>
      <c r="CC119" s="25"/>
      <c r="CD119" s="25"/>
      <c r="CE119" s="25"/>
      <c r="CF119" s="25"/>
      <c r="CG119" s="25"/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  <c r="CR119" s="25"/>
      <c r="CS119" s="25"/>
      <c r="CT119" s="25"/>
      <c r="CU119" s="25"/>
      <c r="CV119" s="25"/>
      <c r="CW119" s="25"/>
      <c r="CX119" s="25"/>
      <c r="CY119" s="25"/>
      <c r="CZ119" s="25"/>
      <c r="DA119" s="25"/>
      <c r="DB119" s="25"/>
      <c r="DC119" s="25"/>
      <c r="DD119" s="25"/>
      <c r="DE119" s="25"/>
      <c r="DF119" s="25"/>
      <c r="DG119" s="25"/>
      <c r="DH119" s="25"/>
      <c r="DI119" s="25"/>
      <c r="DJ119" s="25"/>
      <c r="DK119" s="25"/>
      <c r="DL119" s="25"/>
      <c r="DM119" s="25"/>
      <c r="DN119" s="25"/>
      <c r="DO119" s="25"/>
      <c r="DP119" s="25"/>
      <c r="DQ119" s="25"/>
      <c r="DR119" s="25"/>
      <c r="DS119" s="25"/>
      <c r="DT119" s="25"/>
      <c r="DU119" s="25"/>
      <c r="DV119" s="25"/>
      <c r="DW119" s="25"/>
      <c r="DX119" s="25"/>
      <c r="DY119" s="25"/>
      <c r="DZ119" s="25"/>
      <c r="EA119" s="25"/>
      <c r="EB119" s="25"/>
      <c r="EC119" s="25"/>
      <c r="ED119" s="25"/>
      <c r="EE119" s="25"/>
      <c r="EF119" s="25"/>
      <c r="EG119" s="25"/>
      <c r="EH119" s="25"/>
      <c r="EI119" s="25"/>
      <c r="EJ119" s="25"/>
      <c r="EK119" s="25"/>
      <c r="EL119" s="25"/>
      <c r="EM119" s="25"/>
      <c r="EN119" s="25"/>
      <c r="EO119" s="25"/>
      <c r="EP119" s="25"/>
      <c r="EQ119" s="25"/>
      <c r="ER119" s="25"/>
      <c r="ES119" s="25"/>
      <c r="ET119" s="25"/>
      <c r="EU119" s="25"/>
      <c r="EV119" s="25"/>
      <c r="EW119" s="25"/>
      <c r="EX119" s="25"/>
      <c r="EY119" s="25"/>
      <c r="EZ119" s="25"/>
      <c r="FA119" s="25"/>
      <c r="FB119" s="25"/>
      <c r="FC119" s="25"/>
      <c r="FD119" s="25"/>
      <c r="FE119" s="25"/>
      <c r="FF119" s="25"/>
      <c r="FG119" s="25"/>
      <c r="FH119" s="25"/>
      <c r="FI119" s="25"/>
      <c r="FJ119" s="25"/>
      <c r="FK119" s="25"/>
      <c r="FL119" s="25"/>
      <c r="FM119" s="25"/>
      <c r="FN119" s="25"/>
      <c r="FO119" s="25"/>
      <c r="FP119" s="25"/>
      <c r="FQ119" s="25"/>
      <c r="FR119" s="25"/>
      <c r="FS119" s="25"/>
      <c r="FT119" s="25"/>
      <c r="FU119" s="25"/>
      <c r="FV119" s="25"/>
      <c r="FW119" s="25"/>
      <c r="FX119" s="25"/>
      <c r="FY119" s="25"/>
    </row>
    <row r="120" spans="1:181">
      <c r="A120" s="277" t="s">
        <v>155</v>
      </c>
      <c r="B120" s="139">
        <v>93.955129007439083</v>
      </c>
      <c r="C120" s="138">
        <v>0.92962597559969329</v>
      </c>
      <c r="D120" s="138">
        <v>47.234781612067358</v>
      </c>
      <c r="E120" s="61">
        <v>4573.7079980591134</v>
      </c>
      <c r="F120" s="253">
        <v>3.2249436853629287</v>
      </c>
      <c r="G120" s="20">
        <v>2.5650542183909764</v>
      </c>
      <c r="H120" s="20">
        <v>4.768233567797334</v>
      </c>
      <c r="I120" s="20">
        <v>6.0560823662425953</v>
      </c>
      <c r="J120" s="20">
        <v>2.0115985364145001</v>
      </c>
      <c r="K120" s="20">
        <v>0.92597392946064283</v>
      </c>
      <c r="L120" s="20">
        <v>2.1073889429104287</v>
      </c>
      <c r="M120" s="20">
        <v>3.267517199361119</v>
      </c>
      <c r="N120" s="20">
        <v>2.8524254378787619</v>
      </c>
      <c r="O120" s="20">
        <v>0.64924608847240484</v>
      </c>
      <c r="P120" s="20">
        <v>2.0861021859113333</v>
      </c>
      <c r="Q120" s="20">
        <v>1.7242273169267144</v>
      </c>
      <c r="R120" s="20">
        <v>2.607627732389167</v>
      </c>
      <c r="S120" s="20">
        <v>2.5969843538896193</v>
      </c>
      <c r="T120" s="20">
        <v>1.7561574524253571</v>
      </c>
      <c r="U120" s="20">
        <v>2.7566350313828334</v>
      </c>
      <c r="V120" s="306">
        <v>41.956198045216716</v>
      </c>
      <c r="W120" s="15">
        <v>0.32994473348597619</v>
      </c>
      <c r="X120" s="15">
        <v>1.9158081299185714</v>
      </c>
      <c r="Y120" s="54">
        <v>81.954014446516666</v>
      </c>
      <c r="Z120" s="64">
        <v>351.23149048507145</v>
      </c>
      <c r="AA120" s="15">
        <v>0.30865797648688098</v>
      </c>
      <c r="AB120" s="54">
        <v>54.281230347692862</v>
      </c>
      <c r="AC120" s="68" t="s">
        <v>92</v>
      </c>
      <c r="AD120" s="68" t="s">
        <v>92</v>
      </c>
      <c r="AE120" s="15">
        <v>1.2772054199457143</v>
      </c>
      <c r="AF120" s="15">
        <v>3.1930135498642858</v>
      </c>
      <c r="AG120" s="15">
        <v>5.8538581747511913E-2</v>
      </c>
      <c r="AH120" s="15">
        <v>0.55345568197647621</v>
      </c>
      <c r="AI120" s="308">
        <v>23.415432699004761</v>
      </c>
      <c r="AJ120" s="15"/>
      <c r="DV120" s="19"/>
      <c r="DW120" s="19"/>
      <c r="DX120" s="19"/>
      <c r="DY120" s="19"/>
      <c r="DZ120" s="19"/>
      <c r="EA120" s="19"/>
      <c r="EB120" s="19"/>
      <c r="EC120" s="19"/>
      <c r="ED120" s="19"/>
      <c r="EE120" s="19"/>
      <c r="EF120" s="19"/>
      <c r="EG120" s="19"/>
      <c r="EH120" s="19"/>
      <c r="EI120" s="19"/>
      <c r="EJ120" s="19"/>
      <c r="EK120" s="19"/>
      <c r="EL120" s="19"/>
      <c r="EM120" s="19"/>
      <c r="EN120" s="19"/>
      <c r="EO120" s="19"/>
      <c r="EP120" s="19"/>
      <c r="EQ120" s="19"/>
      <c r="ER120" s="19"/>
      <c r="ES120" s="19"/>
      <c r="ET120" s="19"/>
      <c r="EU120" s="19"/>
      <c r="EV120" s="19"/>
      <c r="EW120" s="19"/>
      <c r="EX120" s="19"/>
      <c r="EY120" s="19"/>
      <c r="EZ120" s="19"/>
      <c r="FA120" s="19"/>
      <c r="FB120" s="19"/>
      <c r="FC120" s="19"/>
      <c r="FD120" s="19"/>
      <c r="FE120" s="19"/>
      <c r="FF120" s="19"/>
      <c r="FG120" s="19"/>
      <c r="FH120" s="19"/>
      <c r="FI120" s="19"/>
      <c r="FJ120" s="19"/>
      <c r="FK120" s="19"/>
      <c r="FL120" s="19"/>
      <c r="FM120" s="19"/>
      <c r="FN120" s="19"/>
      <c r="FO120" s="19"/>
      <c r="FP120" s="19"/>
      <c r="FQ120" s="19"/>
      <c r="FR120" s="19"/>
      <c r="FS120" s="19"/>
      <c r="FT120" s="19"/>
      <c r="FU120" s="19"/>
      <c r="FV120" s="19"/>
      <c r="FW120" s="19"/>
      <c r="FX120" s="19"/>
      <c r="FY120" s="19"/>
    </row>
    <row r="121" spans="1:181">
      <c r="A121" s="285" t="s">
        <v>75</v>
      </c>
      <c r="B121" s="139">
        <v>88.762381698982637</v>
      </c>
      <c r="C121" s="138">
        <v>8.5418722526853461</v>
      </c>
      <c r="D121" s="138">
        <v>78.315834556743042</v>
      </c>
      <c r="E121" s="61">
        <v>5556.6820713830975</v>
      </c>
      <c r="F121" s="253">
        <v>4.8105964692122951</v>
      </c>
      <c r="G121" s="20">
        <v>6.0836582983012644</v>
      </c>
      <c r="H121" s="20">
        <v>7.0750692802466553</v>
      </c>
      <c r="I121" s="20">
        <v>9.7789174128249954</v>
      </c>
      <c r="J121" s="20">
        <v>5.3513660957279638</v>
      </c>
      <c r="K121" s="20">
        <v>1.4307863034893715</v>
      </c>
      <c r="L121" s="20">
        <v>3.1770215557795494</v>
      </c>
      <c r="M121" s="20">
        <v>5.5428886717855965</v>
      </c>
      <c r="N121" s="20">
        <v>4.7542662997835805</v>
      </c>
      <c r="O121" s="20">
        <v>2.1405464382911856</v>
      </c>
      <c r="P121" s="20">
        <v>2.9629669119504305</v>
      </c>
      <c r="Q121" s="20">
        <v>3.7290572161809603</v>
      </c>
      <c r="R121" s="20">
        <v>3.6839930806379879</v>
      </c>
      <c r="S121" s="20">
        <v>3.5150025723518414</v>
      </c>
      <c r="T121" s="20">
        <v>2.5461236581779363</v>
      </c>
      <c r="U121" s="20">
        <v>4.1909646054964265</v>
      </c>
      <c r="V121" s="306">
        <v>70.773224870238039</v>
      </c>
      <c r="W121" s="15">
        <v>0.94634684640241884</v>
      </c>
      <c r="X121" s="15">
        <v>0.23658671160060474</v>
      </c>
      <c r="Y121" s="54">
        <v>79.988840588775886</v>
      </c>
      <c r="Z121" s="64">
        <v>123.92637274317391</v>
      </c>
      <c r="AA121" s="15">
        <v>0.13519240662891699</v>
      </c>
      <c r="AB121" s="54">
        <v>1.8025654217188931</v>
      </c>
      <c r="AC121" s="68" t="s">
        <v>92</v>
      </c>
      <c r="AD121" s="68" t="s">
        <v>92</v>
      </c>
      <c r="AE121" s="15">
        <v>1.5772447440040314</v>
      </c>
      <c r="AF121" s="15">
        <v>1.3519240662891698</v>
      </c>
      <c r="AG121" s="15">
        <v>2.1405464382911861</v>
      </c>
      <c r="AH121" s="15">
        <v>0.92381477863093275</v>
      </c>
      <c r="AI121" s="308">
        <v>10.364751174883635</v>
      </c>
      <c r="AJ121" s="15"/>
      <c r="DV121" s="19"/>
      <c r="DW121" s="19"/>
      <c r="DX121" s="19"/>
      <c r="DY121" s="19"/>
      <c r="DZ121" s="19"/>
      <c r="EA121" s="19"/>
      <c r="EB121" s="19"/>
      <c r="EC121" s="19"/>
      <c r="ED121" s="19"/>
      <c r="EE121" s="19"/>
      <c r="EF121" s="19"/>
      <c r="EG121" s="19"/>
      <c r="EH121" s="19"/>
      <c r="EI121" s="19"/>
      <c r="EJ121" s="19"/>
      <c r="EK121" s="19"/>
      <c r="EL121" s="19"/>
      <c r="EM121" s="19"/>
      <c r="EN121" s="19"/>
      <c r="EO121" s="19"/>
      <c r="EP121" s="19"/>
      <c r="EQ121" s="19"/>
      <c r="ER121" s="19"/>
      <c r="ES121" s="19"/>
      <c r="ET121" s="19"/>
      <c r="EU121" s="19"/>
      <c r="EV121" s="19"/>
      <c r="EW121" s="19"/>
      <c r="EX121" s="19"/>
      <c r="EY121" s="19"/>
      <c r="EZ121" s="19"/>
      <c r="FA121" s="19"/>
      <c r="FB121" s="19"/>
      <c r="FC121" s="19"/>
      <c r="FD121" s="19"/>
      <c r="FE121" s="19"/>
      <c r="FF121" s="19"/>
      <c r="FG121" s="19"/>
      <c r="FH121" s="19"/>
      <c r="FI121" s="19"/>
      <c r="FJ121" s="19"/>
      <c r="FK121" s="19"/>
      <c r="FL121" s="19"/>
      <c r="FM121" s="19"/>
      <c r="FN121" s="19"/>
      <c r="FO121" s="19"/>
      <c r="FP121" s="19"/>
      <c r="FQ121" s="19"/>
      <c r="FR121" s="19"/>
      <c r="FS121" s="19"/>
      <c r="FT121" s="19"/>
      <c r="FU121" s="19"/>
      <c r="FV121" s="19"/>
      <c r="FW121" s="19"/>
      <c r="FX121" s="19"/>
      <c r="FY121" s="19"/>
    </row>
    <row r="122" spans="1:181">
      <c r="A122" s="286" t="s">
        <v>213</v>
      </c>
      <c r="B122" s="139">
        <v>91.632117191818665</v>
      </c>
      <c r="C122" s="138">
        <v>1.5118769323580272</v>
      </c>
      <c r="D122" s="138">
        <v>48.45244370711108</v>
      </c>
      <c r="E122" s="61">
        <v>4811.1798407661572</v>
      </c>
      <c r="F122" s="253">
        <v>3.8960138752733586</v>
      </c>
      <c r="G122" s="20">
        <v>3.7759686298167567</v>
      </c>
      <c r="H122" s="20">
        <v>4.7363305934695736</v>
      </c>
      <c r="I122" s="20">
        <v>6.7334469497021354</v>
      </c>
      <c r="J122" s="20">
        <v>2.4009049091320422</v>
      </c>
      <c r="K122" s="20">
        <v>0.67661865620993911</v>
      </c>
      <c r="L122" s="20">
        <v>2.5536897669858991</v>
      </c>
      <c r="M122" s="20">
        <v>4.2998024281728382</v>
      </c>
      <c r="N122" s="20">
        <v>1.8225050901138682</v>
      </c>
      <c r="O122" s="20">
        <v>0.93853555538797995</v>
      </c>
      <c r="P122" s="20">
        <v>2.2917728678078579</v>
      </c>
      <c r="Q122" s="20">
        <v>1.8661579066435416</v>
      </c>
      <c r="R122" s="20">
        <v>2.608255787647991</v>
      </c>
      <c r="S122" s="20">
        <v>2.5209501545886441</v>
      </c>
      <c r="T122" s="20">
        <v>2.0735087851594907</v>
      </c>
      <c r="U122" s="20">
        <v>3.6450101802277364</v>
      </c>
      <c r="V122" s="306">
        <v>46.839472136339651</v>
      </c>
      <c r="W122" s="15">
        <v>0.31648291984013283</v>
      </c>
      <c r="X122" s="15">
        <v>0.50200739009124506</v>
      </c>
      <c r="Y122" s="54">
        <v>15.278485785385719</v>
      </c>
      <c r="Z122" s="64">
        <v>349.2225322373879</v>
      </c>
      <c r="AA122" s="15">
        <v>0.30556971570771441</v>
      </c>
      <c r="AB122" s="54">
        <v>18.552447025111231</v>
      </c>
      <c r="AC122" s="68" t="s">
        <v>92</v>
      </c>
      <c r="AD122" s="54">
        <f>0.000665705452077521*10000</f>
        <v>6.6570545207752101</v>
      </c>
      <c r="AE122" s="15">
        <v>0.93853555538797995</v>
      </c>
      <c r="AF122" s="15">
        <v>1.3095844958902045</v>
      </c>
      <c r="AG122" s="15">
        <v>2.2917728678078579</v>
      </c>
      <c r="AH122" s="15">
        <v>0.72027147273961256</v>
      </c>
      <c r="AI122" s="308">
        <v>7.3118467687203097</v>
      </c>
      <c r="AJ122" s="15"/>
      <c r="DV122" s="19"/>
      <c r="DW122" s="19"/>
      <c r="DX122" s="19"/>
      <c r="DY122" s="19"/>
      <c r="DZ122" s="19"/>
      <c r="EA122" s="19"/>
      <c r="EB122" s="19"/>
      <c r="EC122" s="19"/>
      <c r="ED122" s="19"/>
      <c r="EE122" s="19"/>
      <c r="EF122" s="19"/>
      <c r="EG122" s="19"/>
      <c r="EH122" s="19"/>
      <c r="EI122" s="19"/>
      <c r="EJ122" s="19"/>
      <c r="EK122" s="19"/>
      <c r="EL122" s="19"/>
      <c r="EM122" s="19"/>
      <c r="EN122" s="19"/>
      <c r="EO122" s="19"/>
      <c r="EP122" s="19"/>
      <c r="EQ122" s="19"/>
      <c r="ER122" s="19"/>
      <c r="ES122" s="19"/>
      <c r="ET122" s="19"/>
      <c r="EU122" s="19"/>
      <c r="EV122" s="19"/>
      <c r="EW122" s="19"/>
      <c r="EX122" s="19"/>
      <c r="EY122" s="19"/>
      <c r="EZ122" s="19"/>
      <c r="FA122" s="19"/>
      <c r="FB122" s="19"/>
      <c r="FC122" s="19"/>
      <c r="FD122" s="19"/>
      <c r="FE122" s="19"/>
      <c r="FF122" s="19"/>
      <c r="FG122" s="19"/>
      <c r="FH122" s="19"/>
      <c r="FI122" s="19"/>
      <c r="FJ122" s="19"/>
      <c r="FK122" s="19"/>
      <c r="FL122" s="19"/>
      <c r="FM122" s="19"/>
      <c r="FN122" s="19"/>
      <c r="FO122" s="19"/>
      <c r="FP122" s="19"/>
      <c r="FQ122" s="19"/>
      <c r="FR122" s="19"/>
      <c r="FS122" s="19"/>
      <c r="FT122" s="19"/>
      <c r="FU122" s="19"/>
      <c r="FV122" s="19"/>
      <c r="FW122" s="19"/>
      <c r="FX122" s="19"/>
      <c r="FY122" s="19"/>
    </row>
    <row r="123" spans="1:181">
      <c r="A123" s="284" t="s">
        <v>166</v>
      </c>
      <c r="B123" s="139">
        <v>93.517324869354908</v>
      </c>
      <c r="C123" s="138">
        <v>6.8853311801979817</v>
      </c>
      <c r="D123" s="138">
        <v>55.674710619381251</v>
      </c>
      <c r="E123" s="61">
        <v>5707.1901462709329</v>
      </c>
      <c r="F123" s="253">
        <v>2.5342897728425458</v>
      </c>
      <c r="G123" s="20">
        <v>3.4432122652122352</v>
      </c>
      <c r="H123" s="20">
        <v>3.5715307347232499</v>
      </c>
      <c r="I123" s="20">
        <v>14.243350115722661</v>
      </c>
      <c r="J123" s="20">
        <v>2.2455732164427622</v>
      </c>
      <c r="K123" s="20">
        <v>1.219025460354642</v>
      </c>
      <c r="L123" s="20">
        <v>2.2455732164427622</v>
      </c>
      <c r="M123" s="20">
        <v>4.3628279633745093</v>
      </c>
      <c r="N123" s="20">
        <v>1.9140838368726401</v>
      </c>
      <c r="O123" s="20">
        <v>0.85545646340676651</v>
      </c>
      <c r="P123" s="20">
        <v>3.3790530304567277</v>
      </c>
      <c r="Q123" s="20">
        <v>6.7260264435357016</v>
      </c>
      <c r="R123" s="20">
        <v>2.9940976219236828</v>
      </c>
      <c r="S123" s="20">
        <v>2.3311188627834389</v>
      </c>
      <c r="T123" s="20">
        <v>2.2348800106501776</v>
      </c>
      <c r="U123" s="20">
        <v>3.3148937957012201</v>
      </c>
      <c r="V123" s="306">
        <v>57.614992810445699</v>
      </c>
      <c r="W123" s="15">
        <v>4.9188746645889077E-2</v>
      </c>
      <c r="X123" s="15">
        <v>0.38495540853304488</v>
      </c>
      <c r="Y123" s="54">
        <v>609.51273017732115</v>
      </c>
      <c r="Z123" s="64">
        <v>53.466028962922913</v>
      </c>
      <c r="AA123" s="15">
        <v>0.12831846951101497</v>
      </c>
      <c r="AB123" s="54">
        <v>28.871655639978368</v>
      </c>
      <c r="AC123" s="68" t="s">
        <v>92</v>
      </c>
      <c r="AD123" s="68" t="s">
        <v>92</v>
      </c>
      <c r="AE123" s="15">
        <v>1.2831846951101498</v>
      </c>
      <c r="AF123" s="15">
        <v>0.84476325761418192</v>
      </c>
      <c r="AG123" s="15">
        <v>2.2455732164427623E-2</v>
      </c>
      <c r="AH123" s="15">
        <v>0.71644478810316692</v>
      </c>
      <c r="AI123" s="308">
        <v>32.079617377753742</v>
      </c>
      <c r="AJ123" s="15"/>
      <c r="DV123" s="19"/>
      <c r="DW123" s="19"/>
      <c r="DX123" s="19"/>
      <c r="DY123" s="19"/>
      <c r="DZ123" s="19"/>
      <c r="EA123" s="19"/>
      <c r="EB123" s="19"/>
      <c r="EC123" s="19"/>
      <c r="ED123" s="19"/>
      <c r="EE123" s="19"/>
      <c r="EF123" s="19"/>
      <c r="EG123" s="19"/>
      <c r="EH123" s="19"/>
      <c r="EI123" s="19"/>
      <c r="EJ123" s="19"/>
      <c r="EK123" s="19"/>
      <c r="EL123" s="19"/>
      <c r="EM123" s="19"/>
      <c r="EN123" s="19"/>
      <c r="EO123" s="19"/>
      <c r="EP123" s="19"/>
      <c r="EQ123" s="19"/>
      <c r="ER123" s="19"/>
      <c r="ES123" s="19"/>
      <c r="ET123" s="19"/>
      <c r="EU123" s="19"/>
      <c r="EV123" s="19"/>
      <c r="EW123" s="19"/>
      <c r="EX123" s="19"/>
      <c r="EY123" s="19"/>
      <c r="EZ123" s="19"/>
      <c r="FA123" s="19"/>
      <c r="FB123" s="19"/>
      <c r="FC123" s="19"/>
      <c r="FD123" s="19"/>
      <c r="FE123" s="19"/>
      <c r="FF123" s="19"/>
      <c r="FG123" s="19"/>
      <c r="FH123" s="19"/>
      <c r="FI123" s="19"/>
      <c r="FJ123" s="19"/>
      <c r="FK123" s="19"/>
      <c r="FL123" s="19"/>
      <c r="FM123" s="19"/>
      <c r="FN123" s="19"/>
      <c r="FO123" s="19"/>
      <c r="FP123" s="19"/>
      <c r="FQ123" s="19"/>
      <c r="FR123" s="19"/>
      <c r="FS123" s="19"/>
      <c r="FT123" s="19"/>
      <c r="FU123" s="19"/>
      <c r="FV123" s="19"/>
      <c r="FW123" s="19"/>
      <c r="FX123" s="19"/>
      <c r="FY123" s="19"/>
    </row>
    <row r="124" spans="1:181">
      <c r="A124" s="280"/>
      <c r="B124" s="52"/>
      <c r="C124" s="52"/>
      <c r="D124" s="52"/>
      <c r="E124" s="56"/>
      <c r="F124" s="320"/>
      <c r="G124" s="172"/>
      <c r="H124" s="172"/>
      <c r="I124" s="172"/>
      <c r="J124" s="172"/>
      <c r="K124" s="172"/>
      <c r="L124" s="172"/>
      <c r="M124" s="172"/>
      <c r="N124" s="172"/>
      <c r="O124" s="172"/>
      <c r="P124" s="172"/>
      <c r="Q124" s="172"/>
      <c r="R124" s="172"/>
      <c r="S124" s="172"/>
      <c r="T124" s="172"/>
      <c r="U124" s="172"/>
      <c r="V124" s="269"/>
      <c r="W124" s="15"/>
      <c r="X124" s="15"/>
      <c r="Y124" s="54"/>
      <c r="Z124" s="64"/>
      <c r="AA124" s="15"/>
      <c r="AB124" s="54"/>
      <c r="AC124" s="54"/>
      <c r="AD124" s="54"/>
      <c r="AE124" s="15"/>
      <c r="AF124" s="15"/>
      <c r="AG124" s="15"/>
      <c r="AH124" s="15"/>
      <c r="AI124" s="308"/>
      <c r="AJ124" s="15"/>
      <c r="DV124" s="19"/>
      <c r="DW124" s="19"/>
      <c r="DX124" s="19"/>
      <c r="DY124" s="19"/>
      <c r="DZ124" s="19"/>
      <c r="EA124" s="19"/>
      <c r="EB124" s="19"/>
      <c r="EC124" s="19"/>
      <c r="ED124" s="19"/>
      <c r="EE124" s="19"/>
      <c r="EF124" s="19"/>
      <c r="EG124" s="19"/>
      <c r="EH124" s="19"/>
      <c r="EI124" s="19"/>
      <c r="EJ124" s="19"/>
      <c r="EK124" s="19"/>
      <c r="EL124" s="19"/>
      <c r="EM124" s="19"/>
      <c r="EN124" s="19"/>
      <c r="EO124" s="19"/>
      <c r="EP124" s="19"/>
      <c r="EQ124" s="19"/>
      <c r="ER124" s="19"/>
      <c r="ES124" s="19"/>
      <c r="ET124" s="19"/>
      <c r="EU124" s="19"/>
      <c r="EV124" s="19"/>
      <c r="EW124" s="19"/>
      <c r="EX124" s="19"/>
      <c r="EY124" s="19"/>
      <c r="EZ124" s="19"/>
      <c r="FA124" s="19"/>
      <c r="FB124" s="19"/>
      <c r="FC124" s="19"/>
      <c r="FD124" s="19"/>
      <c r="FE124" s="19"/>
      <c r="FF124" s="19"/>
      <c r="FG124" s="19"/>
      <c r="FH124" s="19"/>
      <c r="FI124" s="19"/>
      <c r="FJ124" s="19"/>
      <c r="FK124" s="19"/>
      <c r="FL124" s="19"/>
      <c r="FM124" s="19"/>
      <c r="FN124" s="19"/>
      <c r="FO124" s="19"/>
      <c r="FP124" s="19"/>
      <c r="FQ124" s="19"/>
      <c r="FR124" s="19"/>
      <c r="FS124" s="19"/>
      <c r="FT124" s="19"/>
      <c r="FU124" s="19"/>
      <c r="FV124" s="19"/>
      <c r="FW124" s="19"/>
      <c r="FX124" s="19"/>
      <c r="FY124" s="19"/>
    </row>
    <row r="125" spans="1:181" s="15" customFormat="1">
      <c r="A125" s="277" t="s">
        <v>64</v>
      </c>
      <c r="B125" s="54">
        <v>98.271932169033931</v>
      </c>
      <c r="C125" s="54">
        <v>11.070798615957054</v>
      </c>
      <c r="D125" s="54">
        <v>46.475121626225146</v>
      </c>
      <c r="E125" s="60">
        <v>5397.3595847048491</v>
      </c>
      <c r="F125" s="253">
        <v>2.4727304596191786</v>
      </c>
      <c r="G125" s="20">
        <v>3.2257430275690515</v>
      </c>
      <c r="H125" s="20">
        <v>4.0703382051344503</v>
      </c>
      <c r="I125" s="20">
        <v>8.0694454916790477</v>
      </c>
      <c r="J125" s="20">
        <v>1.953762338464536</v>
      </c>
      <c r="K125" s="20">
        <v>0.93617778718092348</v>
      </c>
      <c r="L125" s="20">
        <v>1.8214763467976665</v>
      </c>
      <c r="M125" s="20">
        <v>4.1313932782114664</v>
      </c>
      <c r="N125" s="20">
        <v>1.8927072653875192</v>
      </c>
      <c r="O125" s="20">
        <v>0.92600194166808736</v>
      </c>
      <c r="P125" s="20">
        <v>2.2590377038496201</v>
      </c>
      <c r="Q125" s="20">
        <v>2.8187092070556066</v>
      </c>
      <c r="R125" s="20">
        <v>2.3811478500036531</v>
      </c>
      <c r="S125" s="20">
        <v>1.872355574361847</v>
      </c>
      <c r="T125" s="20">
        <v>1.8113005012848302</v>
      </c>
      <c r="U125" s="20">
        <v>2.1165758666699142</v>
      </c>
      <c r="V125" s="268">
        <v>42.75890284493741</v>
      </c>
      <c r="W125" s="15">
        <v>0.3663304384621005</v>
      </c>
      <c r="X125" s="15">
        <v>2.8492367435941155</v>
      </c>
      <c r="Y125" s="54">
        <v>183.16521923105023</v>
      </c>
      <c r="Z125" s="64">
        <v>203.5169102567225</v>
      </c>
      <c r="AA125" s="15">
        <v>0.2035169102567225</v>
      </c>
      <c r="AB125" s="54">
        <v>44.773720256478953</v>
      </c>
      <c r="AC125" s="68" t="s">
        <v>92</v>
      </c>
      <c r="AD125" s="54">
        <f>0.000274747828846575*10000</f>
        <v>2.74747828846575</v>
      </c>
      <c r="AE125" s="15">
        <v>0.5596715032059868</v>
      </c>
      <c r="AF125" s="15">
        <v>0.84459517756539848</v>
      </c>
      <c r="AG125" s="15">
        <v>0.58002319423165916</v>
      </c>
      <c r="AH125" s="15">
        <v>0.8547710230782346</v>
      </c>
      <c r="AI125" s="308">
        <v>14.246183717970576</v>
      </c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</row>
    <row r="126" spans="1:181" s="15" customFormat="1">
      <c r="A126" s="6"/>
      <c r="E126" s="60"/>
      <c r="Y126" s="54"/>
      <c r="Z126" s="64"/>
      <c r="AA126" s="67"/>
      <c r="AC126" s="54"/>
      <c r="AD126" s="68"/>
      <c r="AE126" s="54"/>
      <c r="AG126" s="27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  <c r="CS126" s="20"/>
      <c r="CT126" s="20"/>
      <c r="CU126" s="20"/>
      <c r="CV126" s="20"/>
      <c r="CW126" s="20"/>
      <c r="CX126" s="20"/>
      <c r="CY126" s="20"/>
      <c r="CZ126" s="20"/>
      <c r="DA126" s="20"/>
      <c r="DB126" s="20"/>
      <c r="DC126" s="20"/>
      <c r="DD126" s="20"/>
      <c r="DE126" s="20"/>
      <c r="DF126" s="20"/>
      <c r="DG126" s="20"/>
      <c r="DH126" s="20"/>
      <c r="DI126" s="20"/>
      <c r="DJ126" s="20"/>
      <c r="DK126" s="20"/>
      <c r="DL126" s="20"/>
      <c r="DM126" s="20"/>
      <c r="DN126" s="20"/>
      <c r="DO126" s="20"/>
      <c r="DP126" s="20"/>
      <c r="DQ126" s="20"/>
      <c r="DR126" s="20"/>
      <c r="DS126" s="20"/>
      <c r="DT126" s="20"/>
      <c r="DU126" s="20"/>
      <c r="DV126" s="20"/>
      <c r="DW126" s="20"/>
      <c r="DX126" s="20"/>
      <c r="DY126" s="20"/>
      <c r="DZ126" s="20"/>
      <c r="EA126" s="20"/>
      <c r="EB126" s="20"/>
      <c r="EC126" s="20"/>
      <c r="ED126" s="20"/>
      <c r="EE126" s="20"/>
      <c r="EF126" s="20"/>
      <c r="EG126" s="20"/>
      <c r="EH126" s="20"/>
      <c r="EI126" s="20"/>
      <c r="EJ126" s="20"/>
      <c r="EK126" s="20"/>
      <c r="EL126" s="20"/>
      <c r="EM126" s="20"/>
      <c r="EN126" s="20"/>
      <c r="EO126" s="20"/>
      <c r="EP126" s="20"/>
      <c r="EQ126" s="20"/>
      <c r="ER126" s="20"/>
      <c r="ES126" s="20"/>
      <c r="ET126" s="20"/>
      <c r="EU126" s="20"/>
      <c r="EV126" s="20"/>
      <c r="EW126" s="20"/>
      <c r="EX126" s="20"/>
      <c r="EY126" s="20"/>
      <c r="EZ126" s="20"/>
      <c r="FA126" s="20"/>
      <c r="FB126" s="20"/>
      <c r="FC126" s="20"/>
      <c r="FD126" s="20"/>
      <c r="FE126" s="20"/>
      <c r="FF126" s="20"/>
      <c r="FG126" s="20"/>
      <c r="FH126" s="20"/>
      <c r="FI126" s="20"/>
      <c r="FJ126" s="20"/>
      <c r="FK126" s="20"/>
      <c r="FL126" s="20"/>
      <c r="FM126" s="20"/>
      <c r="FN126" s="20"/>
      <c r="FO126" s="20"/>
      <c r="FP126" s="20"/>
      <c r="FQ126" s="20"/>
      <c r="FR126" s="20"/>
      <c r="FS126" s="20"/>
      <c r="FT126" s="20"/>
      <c r="FU126" s="20"/>
      <c r="FV126" s="20"/>
      <c r="FW126" s="20"/>
      <c r="FX126" s="20"/>
      <c r="FY126" s="20"/>
    </row>
    <row r="127" spans="1:181" s="15" customFormat="1">
      <c r="A127" s="6"/>
      <c r="E127" s="60"/>
      <c r="Y127" s="54"/>
      <c r="Z127" s="64"/>
      <c r="AA127" s="67"/>
      <c r="AC127" s="54"/>
      <c r="AD127" s="68"/>
      <c r="AE127" s="54"/>
      <c r="AG127" s="27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0"/>
      <c r="CS127" s="20"/>
      <c r="CT127" s="20"/>
      <c r="CU127" s="20"/>
      <c r="CV127" s="20"/>
      <c r="CW127" s="20"/>
      <c r="CX127" s="20"/>
      <c r="CY127" s="20"/>
      <c r="CZ127" s="20"/>
      <c r="DA127" s="20"/>
      <c r="DB127" s="20"/>
      <c r="DC127" s="20"/>
      <c r="DD127" s="20"/>
      <c r="DE127" s="20"/>
      <c r="DF127" s="20"/>
      <c r="DG127" s="20"/>
      <c r="DH127" s="20"/>
      <c r="DI127" s="20"/>
      <c r="DJ127" s="20"/>
      <c r="DK127" s="20"/>
      <c r="DL127" s="20"/>
      <c r="DM127" s="20"/>
      <c r="DN127" s="20"/>
      <c r="DO127" s="20"/>
      <c r="DP127" s="20"/>
      <c r="DQ127" s="20"/>
      <c r="DR127" s="20"/>
      <c r="DS127" s="20"/>
      <c r="DT127" s="20"/>
      <c r="DU127" s="20"/>
      <c r="DV127" s="20"/>
      <c r="DW127" s="20"/>
      <c r="DX127" s="20"/>
      <c r="DY127" s="20"/>
      <c r="DZ127" s="20"/>
      <c r="EA127" s="20"/>
      <c r="EB127" s="20"/>
      <c r="EC127" s="20"/>
      <c r="ED127" s="20"/>
      <c r="EE127" s="20"/>
      <c r="EF127" s="20"/>
      <c r="EG127" s="20"/>
      <c r="EH127" s="20"/>
      <c r="EI127" s="20"/>
      <c r="EJ127" s="20"/>
      <c r="EK127" s="20"/>
      <c r="EL127" s="20"/>
      <c r="EM127" s="20"/>
      <c r="EN127" s="20"/>
      <c r="EO127" s="20"/>
      <c r="EP127" s="20"/>
      <c r="EQ127" s="20"/>
      <c r="ER127" s="20"/>
      <c r="ES127" s="20"/>
      <c r="ET127" s="20"/>
      <c r="EU127" s="20"/>
      <c r="EV127" s="20"/>
      <c r="EW127" s="20"/>
      <c r="EX127" s="20"/>
      <c r="EY127" s="20"/>
      <c r="EZ127" s="20"/>
      <c r="FA127" s="20"/>
      <c r="FB127" s="20"/>
      <c r="FC127" s="20"/>
      <c r="FD127" s="20"/>
      <c r="FE127" s="20"/>
      <c r="FF127" s="20"/>
      <c r="FG127" s="20"/>
      <c r="FH127" s="20"/>
      <c r="FI127" s="20"/>
      <c r="FJ127" s="20"/>
      <c r="FK127" s="20"/>
      <c r="FL127" s="20"/>
      <c r="FM127" s="20"/>
      <c r="FN127" s="20"/>
      <c r="FO127" s="20"/>
      <c r="FP127" s="20"/>
      <c r="FQ127" s="20"/>
      <c r="FR127" s="20"/>
      <c r="FS127" s="20"/>
      <c r="FT127" s="20"/>
      <c r="FU127" s="20"/>
      <c r="FV127" s="20"/>
      <c r="FW127" s="20"/>
      <c r="FX127" s="20"/>
      <c r="FY127" s="20"/>
    </row>
    <row r="128" spans="1:181" s="15" customFormat="1" ht="18.75">
      <c r="A128" s="6"/>
      <c r="B128" s="91"/>
      <c r="C128" s="105" t="s">
        <v>173</v>
      </c>
      <c r="D128" s="91"/>
      <c r="E128" s="91"/>
      <c r="F128" s="259"/>
      <c r="G128" s="260"/>
      <c r="H128" s="260"/>
      <c r="I128" s="261"/>
      <c r="J128" s="260"/>
      <c r="K128" s="260"/>
      <c r="L128" s="260"/>
      <c r="M128" s="262" t="s">
        <v>172</v>
      </c>
      <c r="N128" s="260"/>
      <c r="O128" s="260"/>
      <c r="P128" s="260"/>
      <c r="Q128" s="260"/>
      <c r="R128" s="260"/>
      <c r="S128" s="260"/>
      <c r="T128" s="260"/>
      <c r="U128" s="260"/>
      <c r="V128" s="263"/>
      <c r="W128" s="95"/>
      <c r="X128" s="95"/>
      <c r="Y128" s="95"/>
      <c r="Z128" s="95"/>
      <c r="AA128" s="107" t="s">
        <v>175</v>
      </c>
      <c r="AB128" s="95"/>
      <c r="AC128" s="95"/>
      <c r="AD128" s="95"/>
      <c r="AE128" s="95"/>
      <c r="AF128" s="95"/>
      <c r="AG128" s="95"/>
      <c r="AH128" s="95"/>
      <c r="AI128" s="30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0"/>
      <c r="CT128" s="20"/>
      <c r="CU128" s="20"/>
      <c r="CV128" s="20"/>
      <c r="CW128" s="20"/>
      <c r="CX128" s="20"/>
      <c r="CY128" s="20"/>
      <c r="CZ128" s="20"/>
      <c r="DA128" s="20"/>
      <c r="DB128" s="20"/>
      <c r="DC128" s="20"/>
      <c r="DD128" s="20"/>
      <c r="DE128" s="20"/>
      <c r="DF128" s="20"/>
      <c r="DG128" s="20"/>
      <c r="DH128" s="20"/>
      <c r="DI128" s="20"/>
      <c r="DJ128" s="20"/>
      <c r="DK128" s="20"/>
      <c r="DL128" s="20"/>
      <c r="DM128" s="20"/>
      <c r="DN128" s="20"/>
      <c r="DO128" s="20"/>
      <c r="DP128" s="20"/>
      <c r="DQ128" s="20"/>
      <c r="DR128" s="20"/>
      <c r="DS128" s="20"/>
      <c r="DT128" s="20"/>
      <c r="DU128" s="20"/>
      <c r="DV128" s="20"/>
      <c r="DW128" s="20"/>
      <c r="DX128" s="20"/>
      <c r="DY128" s="20"/>
      <c r="DZ128" s="20"/>
      <c r="EA128" s="20"/>
      <c r="EB128" s="20"/>
      <c r="EC128" s="20"/>
      <c r="ED128" s="20"/>
      <c r="EE128" s="20"/>
      <c r="EF128" s="20"/>
      <c r="EG128" s="20"/>
      <c r="EH128" s="20"/>
      <c r="EI128" s="20"/>
      <c r="EJ128" s="20"/>
      <c r="EK128" s="20"/>
      <c r="EL128" s="20"/>
      <c r="EM128" s="20"/>
      <c r="EN128" s="20"/>
      <c r="EO128" s="20"/>
      <c r="EP128" s="20"/>
      <c r="EQ128" s="20"/>
      <c r="ER128" s="20"/>
      <c r="ES128" s="20"/>
      <c r="ET128" s="20"/>
      <c r="EU128" s="20"/>
      <c r="EV128" s="20"/>
      <c r="EW128" s="20"/>
      <c r="EX128" s="20"/>
      <c r="EY128" s="20"/>
      <c r="EZ128" s="20"/>
      <c r="FA128" s="20"/>
      <c r="FB128" s="20"/>
      <c r="FC128" s="20"/>
      <c r="FD128" s="20"/>
      <c r="FE128" s="20"/>
      <c r="FF128" s="20"/>
      <c r="FG128" s="20"/>
      <c r="FH128" s="20"/>
      <c r="FI128" s="20"/>
      <c r="FJ128" s="20"/>
      <c r="FK128" s="20"/>
      <c r="FL128" s="20"/>
      <c r="FM128" s="20"/>
      <c r="FN128" s="20"/>
      <c r="FO128" s="20"/>
      <c r="FP128" s="20"/>
      <c r="FQ128" s="20"/>
      <c r="FR128" s="20"/>
      <c r="FS128" s="20"/>
      <c r="FT128" s="20"/>
      <c r="FU128" s="20"/>
      <c r="FV128" s="20"/>
      <c r="FW128" s="20"/>
      <c r="FX128" s="20"/>
      <c r="FY128" s="20"/>
    </row>
    <row r="129" spans="1:181" s="15" customFormat="1">
      <c r="A129" s="6"/>
      <c r="B129" s="91"/>
      <c r="C129" s="92" t="s">
        <v>39</v>
      </c>
      <c r="D129" s="91"/>
      <c r="E129" s="91"/>
      <c r="F129" s="259"/>
      <c r="G129" s="260"/>
      <c r="H129" s="260"/>
      <c r="I129" s="261"/>
      <c r="J129" s="260"/>
      <c r="K129" s="260"/>
      <c r="L129" s="260"/>
      <c r="M129" s="264" t="s">
        <v>179</v>
      </c>
      <c r="N129" s="260"/>
      <c r="O129" s="260"/>
      <c r="P129" s="260"/>
      <c r="Q129" s="260"/>
      <c r="R129" s="260"/>
      <c r="S129" s="260"/>
      <c r="T129" s="260"/>
      <c r="U129" s="260"/>
      <c r="V129" s="263"/>
      <c r="W129" s="95"/>
      <c r="X129" s="95"/>
      <c r="Y129" s="95"/>
      <c r="Z129" s="95"/>
      <c r="AA129" s="123" t="s">
        <v>179</v>
      </c>
      <c r="AB129" s="95"/>
      <c r="AC129" s="95"/>
      <c r="AD129" s="95"/>
      <c r="AE129" s="95"/>
      <c r="AF129" s="95"/>
      <c r="AG129" s="95"/>
      <c r="AH129" s="95"/>
      <c r="AI129" s="30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P129" s="20"/>
      <c r="CQ129" s="20"/>
      <c r="CR129" s="20"/>
      <c r="CS129" s="20"/>
      <c r="CT129" s="20"/>
      <c r="CU129" s="20"/>
      <c r="CV129" s="20"/>
      <c r="CW129" s="20"/>
      <c r="CX129" s="20"/>
      <c r="CY129" s="20"/>
      <c r="CZ129" s="20"/>
      <c r="DA129" s="20"/>
      <c r="DB129" s="20"/>
      <c r="DC129" s="20"/>
      <c r="DD129" s="20"/>
      <c r="DE129" s="20"/>
      <c r="DF129" s="20"/>
      <c r="DG129" s="20"/>
      <c r="DH129" s="20"/>
      <c r="DI129" s="20"/>
      <c r="DJ129" s="20"/>
      <c r="DK129" s="20"/>
      <c r="DL129" s="20"/>
      <c r="DM129" s="20"/>
      <c r="DN129" s="20"/>
      <c r="DO129" s="20"/>
      <c r="DP129" s="20"/>
      <c r="DQ129" s="20"/>
      <c r="DR129" s="20"/>
      <c r="DS129" s="20"/>
      <c r="DT129" s="20"/>
      <c r="DU129" s="20"/>
      <c r="DV129" s="20"/>
      <c r="DW129" s="20"/>
      <c r="DX129" s="20"/>
      <c r="DY129" s="20"/>
      <c r="DZ129" s="20"/>
      <c r="EA129" s="20"/>
      <c r="EB129" s="20"/>
      <c r="EC129" s="20"/>
      <c r="ED129" s="20"/>
      <c r="EE129" s="20"/>
      <c r="EF129" s="20"/>
      <c r="EG129" s="20"/>
      <c r="EH129" s="20"/>
      <c r="EI129" s="20"/>
      <c r="EJ129" s="20"/>
      <c r="EK129" s="20"/>
      <c r="EL129" s="20"/>
      <c r="EM129" s="20"/>
      <c r="EN129" s="20"/>
      <c r="EO129" s="20"/>
      <c r="EP129" s="20"/>
      <c r="EQ129" s="20"/>
      <c r="ER129" s="20"/>
      <c r="ES129" s="20"/>
      <c r="ET129" s="20"/>
      <c r="EU129" s="20"/>
      <c r="EV129" s="20"/>
      <c r="EW129" s="20"/>
      <c r="EX129" s="20"/>
      <c r="EY129" s="20"/>
      <c r="EZ129" s="20"/>
      <c r="FA129" s="20"/>
      <c r="FB129" s="20"/>
      <c r="FC129" s="20"/>
      <c r="FD129" s="20"/>
      <c r="FE129" s="20"/>
      <c r="FF129" s="20"/>
      <c r="FG129" s="20"/>
      <c r="FH129" s="20"/>
      <c r="FI129" s="20"/>
      <c r="FJ129" s="20"/>
      <c r="FK129" s="20"/>
      <c r="FL129" s="20"/>
      <c r="FM129" s="20"/>
      <c r="FN129" s="20"/>
      <c r="FO129" s="20"/>
      <c r="FP129" s="20"/>
      <c r="FQ129" s="20"/>
      <c r="FR129" s="20"/>
      <c r="FS129" s="20"/>
      <c r="FT129" s="20"/>
      <c r="FU129" s="20"/>
      <c r="FV129" s="20"/>
      <c r="FW129" s="20"/>
      <c r="FX129" s="20"/>
      <c r="FY129" s="20"/>
    </row>
    <row r="130" spans="1:181">
      <c r="A130" s="5"/>
      <c r="B130" s="119" t="s">
        <v>0</v>
      </c>
      <c r="C130" s="119" t="s">
        <v>1</v>
      </c>
      <c r="D130" s="119" t="s">
        <v>2</v>
      </c>
      <c r="E130" s="119" t="s">
        <v>3</v>
      </c>
      <c r="F130" s="316" t="s">
        <v>18</v>
      </c>
      <c r="G130" s="120" t="s">
        <v>19</v>
      </c>
      <c r="H130" s="120" t="s">
        <v>20</v>
      </c>
      <c r="I130" s="120" t="s">
        <v>21</v>
      </c>
      <c r="J130" s="120" t="s">
        <v>22</v>
      </c>
      <c r="K130" s="120" t="s">
        <v>23</v>
      </c>
      <c r="L130" s="120" t="s">
        <v>24</v>
      </c>
      <c r="M130" s="120" t="s">
        <v>25</v>
      </c>
      <c r="N130" s="120" t="s">
        <v>26</v>
      </c>
      <c r="O130" s="120" t="s">
        <v>27</v>
      </c>
      <c r="P130" s="120" t="s">
        <v>28</v>
      </c>
      <c r="Q130" s="120" t="s">
        <v>29</v>
      </c>
      <c r="R130" s="120" t="s">
        <v>30</v>
      </c>
      <c r="S130" s="120" t="s">
        <v>31</v>
      </c>
      <c r="T130" s="120" t="s">
        <v>32</v>
      </c>
      <c r="U130" s="120" t="s">
        <v>33</v>
      </c>
      <c r="V130" s="318" t="s">
        <v>17</v>
      </c>
      <c r="W130" s="121" t="s">
        <v>4</v>
      </c>
      <c r="X130" s="121" t="s">
        <v>5</v>
      </c>
      <c r="Y130" s="121" t="s">
        <v>6</v>
      </c>
      <c r="Z130" s="122" t="s">
        <v>7</v>
      </c>
      <c r="AA130" s="121" t="s">
        <v>8</v>
      </c>
      <c r="AB130" s="121" t="s">
        <v>9</v>
      </c>
      <c r="AC130" s="121" t="s">
        <v>10</v>
      </c>
      <c r="AD130" s="121" t="s">
        <v>11</v>
      </c>
      <c r="AE130" s="121" t="s">
        <v>12</v>
      </c>
      <c r="AF130" s="121" t="s">
        <v>13</v>
      </c>
      <c r="AG130" s="121" t="s">
        <v>14</v>
      </c>
      <c r="AH130" s="121" t="s">
        <v>15</v>
      </c>
      <c r="AI130" s="220" t="s">
        <v>16</v>
      </c>
      <c r="AJ130" s="15"/>
      <c r="DV130" s="19"/>
      <c r="DW130" s="19"/>
      <c r="DX130" s="19"/>
      <c r="DY130" s="19"/>
      <c r="DZ130" s="19"/>
      <c r="EA130" s="19"/>
      <c r="EB130" s="19"/>
      <c r="EC130" s="19"/>
      <c r="ED130" s="19"/>
      <c r="EE130" s="19"/>
      <c r="EF130" s="19"/>
      <c r="EG130" s="19"/>
      <c r="EH130" s="19"/>
      <c r="EI130" s="19"/>
      <c r="EJ130" s="19"/>
      <c r="EK130" s="19"/>
      <c r="EL130" s="19"/>
      <c r="EM130" s="19"/>
      <c r="EN130" s="19"/>
      <c r="EO130" s="19"/>
      <c r="EP130" s="19"/>
      <c r="EQ130" s="19"/>
      <c r="ER130" s="19"/>
      <c r="ES130" s="19"/>
      <c r="ET130" s="19"/>
      <c r="EU130" s="19"/>
      <c r="EV130" s="19"/>
      <c r="EW130" s="19"/>
      <c r="EX130" s="19"/>
      <c r="EY130" s="19"/>
      <c r="EZ130" s="19"/>
      <c r="FA130" s="19"/>
      <c r="FB130" s="19"/>
      <c r="FC130" s="19"/>
      <c r="FD130" s="19"/>
      <c r="FE130" s="19"/>
      <c r="FF130" s="19"/>
      <c r="FG130" s="19"/>
      <c r="FH130" s="19"/>
      <c r="FI130" s="19"/>
      <c r="FJ130" s="19"/>
      <c r="FK130" s="19"/>
      <c r="FL130" s="19"/>
      <c r="FM130" s="19"/>
      <c r="FN130" s="19"/>
      <c r="FO130" s="19"/>
      <c r="FP130" s="19"/>
      <c r="FQ130" s="19"/>
      <c r="FR130" s="19"/>
      <c r="FS130" s="19"/>
      <c r="FT130" s="19"/>
      <c r="FU130" s="19"/>
      <c r="FV130" s="19"/>
      <c r="FW130" s="19"/>
      <c r="FX130" s="19"/>
      <c r="FY130" s="19"/>
    </row>
    <row r="131" spans="1:181" s="33" customFormat="1" ht="13.5" thickBot="1">
      <c r="A131" s="35" t="s">
        <v>84</v>
      </c>
      <c r="B131" s="93" t="s">
        <v>93</v>
      </c>
      <c r="C131" s="93" t="s">
        <v>93</v>
      </c>
      <c r="D131" s="93" t="s">
        <v>93</v>
      </c>
      <c r="E131" s="93" t="s">
        <v>94</v>
      </c>
      <c r="F131" s="317" t="s">
        <v>93</v>
      </c>
      <c r="G131" s="94" t="s">
        <v>93</v>
      </c>
      <c r="H131" s="94" t="s">
        <v>93</v>
      </c>
      <c r="I131" s="94" t="s">
        <v>93</v>
      </c>
      <c r="J131" s="94" t="s">
        <v>93</v>
      </c>
      <c r="K131" s="94" t="s">
        <v>93</v>
      </c>
      <c r="L131" s="94" t="s">
        <v>93</v>
      </c>
      <c r="M131" s="94" t="s">
        <v>93</v>
      </c>
      <c r="N131" s="94" t="s">
        <v>93</v>
      </c>
      <c r="O131" s="94" t="s">
        <v>93</v>
      </c>
      <c r="P131" s="94" t="s">
        <v>93</v>
      </c>
      <c r="Q131" s="94" t="s">
        <v>93</v>
      </c>
      <c r="R131" s="94" t="s">
        <v>93</v>
      </c>
      <c r="S131" s="94" t="s">
        <v>93</v>
      </c>
      <c r="T131" s="94" t="s">
        <v>93</v>
      </c>
      <c r="U131" s="94" t="s">
        <v>93</v>
      </c>
      <c r="V131" s="319" t="s">
        <v>93</v>
      </c>
      <c r="W131" s="328" t="s">
        <v>93</v>
      </c>
      <c r="X131" s="329" t="s">
        <v>91</v>
      </c>
      <c r="Y131" s="330" t="s">
        <v>91</v>
      </c>
      <c r="Z131" s="331" t="s">
        <v>91</v>
      </c>
      <c r="AA131" s="330" t="s">
        <v>93</v>
      </c>
      <c r="AB131" s="330" t="s">
        <v>91</v>
      </c>
      <c r="AC131" s="330" t="s">
        <v>91</v>
      </c>
      <c r="AD131" s="330" t="s">
        <v>91</v>
      </c>
      <c r="AE131" s="330" t="s">
        <v>93</v>
      </c>
      <c r="AF131" s="330" t="s">
        <v>93</v>
      </c>
      <c r="AG131" s="330" t="s">
        <v>93</v>
      </c>
      <c r="AH131" s="330" t="s">
        <v>93</v>
      </c>
      <c r="AI131" s="332" t="s">
        <v>91</v>
      </c>
      <c r="AJ131" s="15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9"/>
      <c r="BS131" s="19"/>
      <c r="BT131" s="19"/>
      <c r="BU131" s="19"/>
      <c r="BV131" s="19"/>
      <c r="BW131" s="19"/>
      <c r="BX131" s="19"/>
      <c r="BY131" s="19"/>
      <c r="BZ131" s="19"/>
      <c r="CA131" s="19"/>
      <c r="CB131" s="19"/>
      <c r="CC131" s="19"/>
      <c r="CD131" s="19"/>
      <c r="CE131" s="19"/>
      <c r="CF131" s="19"/>
      <c r="CG131" s="19"/>
      <c r="CH131" s="19"/>
      <c r="CI131" s="19"/>
      <c r="CJ131" s="19"/>
      <c r="CK131" s="19"/>
      <c r="CL131" s="19"/>
      <c r="CM131" s="19"/>
      <c r="CN131" s="19"/>
      <c r="CO131" s="19"/>
      <c r="CP131" s="19"/>
      <c r="CQ131" s="19"/>
      <c r="CR131" s="19"/>
      <c r="CS131" s="19"/>
      <c r="CT131" s="19"/>
      <c r="CU131" s="19"/>
      <c r="CV131" s="19"/>
      <c r="CW131" s="19"/>
      <c r="CX131" s="19"/>
      <c r="CY131" s="19"/>
      <c r="CZ131" s="19"/>
      <c r="DA131" s="19"/>
      <c r="DB131" s="19"/>
      <c r="DC131" s="19"/>
      <c r="DD131" s="19"/>
      <c r="DE131" s="19"/>
      <c r="DF131" s="19"/>
      <c r="DG131" s="19"/>
      <c r="DH131" s="19"/>
      <c r="DI131" s="19"/>
      <c r="DJ131" s="19"/>
      <c r="DK131" s="19"/>
      <c r="DL131" s="19"/>
      <c r="DM131" s="19"/>
      <c r="DN131" s="19"/>
      <c r="DO131" s="19"/>
      <c r="DP131" s="19"/>
      <c r="DQ131" s="19"/>
      <c r="DR131" s="19"/>
      <c r="DS131" s="19"/>
      <c r="DT131" s="19"/>
      <c r="DU131" s="19"/>
      <c r="DV131" s="19"/>
      <c r="DW131" s="19"/>
      <c r="DX131" s="19"/>
      <c r="DY131" s="19"/>
      <c r="DZ131" s="19"/>
      <c r="EA131" s="19"/>
      <c r="EB131" s="19"/>
      <c r="EC131" s="19"/>
      <c r="ED131" s="19"/>
      <c r="EE131" s="19"/>
      <c r="EF131" s="19"/>
      <c r="EG131" s="19"/>
      <c r="EH131" s="19"/>
      <c r="EI131" s="19"/>
      <c r="EJ131" s="19"/>
      <c r="EK131" s="19"/>
      <c r="EL131" s="19"/>
      <c r="EM131" s="19"/>
      <c r="EN131" s="19"/>
      <c r="EO131" s="19"/>
      <c r="EP131" s="19"/>
      <c r="EQ131" s="19"/>
      <c r="ER131" s="19"/>
      <c r="ES131" s="19"/>
      <c r="ET131" s="19"/>
      <c r="EU131" s="19"/>
      <c r="EV131" s="19"/>
      <c r="EW131" s="19"/>
      <c r="EX131" s="19"/>
      <c r="EY131" s="19"/>
      <c r="EZ131" s="19"/>
      <c r="FA131" s="19"/>
      <c r="FB131" s="19"/>
      <c r="FC131" s="19"/>
      <c r="FD131" s="19"/>
      <c r="FE131" s="19"/>
      <c r="FF131" s="19"/>
      <c r="FG131" s="19"/>
      <c r="FH131" s="19"/>
      <c r="FI131" s="19"/>
      <c r="FJ131" s="19"/>
      <c r="FK131" s="19"/>
      <c r="FL131" s="19"/>
      <c r="FM131" s="19"/>
      <c r="FN131" s="19"/>
      <c r="FO131" s="19"/>
      <c r="FP131" s="19"/>
      <c r="FQ131" s="19"/>
      <c r="FR131" s="19"/>
      <c r="FS131" s="19"/>
      <c r="FT131" s="19"/>
      <c r="FU131" s="19"/>
      <c r="FV131" s="19"/>
      <c r="FW131" s="19"/>
      <c r="FX131" s="19"/>
      <c r="FY131" s="19"/>
    </row>
    <row r="132" spans="1:181">
      <c r="A132" s="287" t="s">
        <v>38</v>
      </c>
      <c r="B132" s="54">
        <v>91.533970649495814</v>
      </c>
      <c r="C132" s="54">
        <v>3.8921646188312393</v>
      </c>
      <c r="D132" s="54">
        <v>52.008013704868397</v>
      </c>
      <c r="E132" s="60">
        <v>5945.4179813076598</v>
      </c>
      <c r="F132" s="253">
        <v>3.6598434179457859</v>
      </c>
      <c r="G132" s="20">
        <v>2.2144783905003309</v>
      </c>
      <c r="H132" s="20">
        <v>3.8346419095491666</v>
      </c>
      <c r="I132" s="20">
        <v>7.6758387625334601</v>
      </c>
      <c r="J132" s="20">
        <v>1.7567248406139773</v>
      </c>
      <c r="K132" s="20">
        <v>1.0389585344675947</v>
      </c>
      <c r="L132" s="20">
        <v>2.0418648800419921</v>
      </c>
      <c r="M132" s="20">
        <v>5.9070965256217507</v>
      </c>
      <c r="N132" s="20">
        <v>2.335744844050176</v>
      </c>
      <c r="O132" s="20">
        <v>0.98761147755910172</v>
      </c>
      <c r="P132" s="20">
        <v>2.8306430734022485</v>
      </c>
      <c r="Q132" s="20">
        <v>3.3594085105024751</v>
      </c>
      <c r="R132" s="20">
        <v>2.7039141669897968</v>
      </c>
      <c r="S132" s="20">
        <v>2.1532989184391478</v>
      </c>
      <c r="T132" s="20">
        <v>2.5192832602337258</v>
      </c>
      <c r="U132" s="20">
        <v>2.1795186921796543</v>
      </c>
      <c r="V132" s="268">
        <v>48.016053152876189</v>
      </c>
      <c r="W132" s="15">
        <v>0.17479849160338079</v>
      </c>
      <c r="X132" s="15">
        <v>0.22942302022943731</v>
      </c>
      <c r="Y132" s="54">
        <v>72.104377786394579</v>
      </c>
      <c r="Z132" s="64">
        <v>57.902000343619896</v>
      </c>
      <c r="AA132" s="15">
        <v>9.0676717519253797E-2</v>
      </c>
      <c r="AB132" s="54">
        <v>9.8324151526901709</v>
      </c>
      <c r="AC132" s="68" t="s">
        <v>92</v>
      </c>
      <c r="AD132" s="68" t="s">
        <v>92</v>
      </c>
      <c r="AE132" s="15">
        <v>0.66641924923788942</v>
      </c>
      <c r="AF132" s="15">
        <v>0.2403479259546486</v>
      </c>
      <c r="AG132" s="15">
        <v>4.042215118328181E-2</v>
      </c>
      <c r="AH132" s="15">
        <v>0.61179472061183282</v>
      </c>
      <c r="AI132" s="304">
        <v>3.6052188893197301</v>
      </c>
      <c r="AJ132" s="15"/>
      <c r="DV132" s="19"/>
      <c r="DW132" s="19"/>
      <c r="DX132" s="19"/>
      <c r="DY132" s="19"/>
      <c r="DZ132" s="19"/>
      <c r="EA132" s="19"/>
      <c r="EB132" s="19"/>
      <c r="EC132" s="19"/>
      <c r="ED132" s="19"/>
      <c r="EE132" s="19"/>
      <c r="EF132" s="19"/>
      <c r="EG132" s="19"/>
      <c r="EH132" s="19"/>
      <c r="EI132" s="19"/>
      <c r="EJ132" s="19"/>
      <c r="EK132" s="19"/>
      <c r="EL132" s="19"/>
      <c r="EM132" s="19"/>
      <c r="EN132" s="19"/>
      <c r="EO132" s="19"/>
      <c r="EP132" s="19"/>
      <c r="EQ132" s="19"/>
      <c r="ER132" s="19"/>
      <c r="ES132" s="19"/>
      <c r="ET132" s="19"/>
      <c r="EU132" s="19"/>
      <c r="EV132" s="19"/>
      <c r="EW132" s="19"/>
      <c r="EX132" s="19"/>
      <c r="EY132" s="19"/>
      <c r="EZ132" s="19"/>
      <c r="FA132" s="19"/>
      <c r="FB132" s="19"/>
      <c r="FC132" s="19"/>
      <c r="FD132" s="19"/>
      <c r="FE132" s="19"/>
      <c r="FF132" s="19"/>
      <c r="FG132" s="19"/>
      <c r="FH132" s="19"/>
      <c r="FI132" s="19"/>
      <c r="FJ132" s="19"/>
      <c r="FK132" s="19"/>
      <c r="FL132" s="19"/>
      <c r="FM132" s="19"/>
      <c r="FN132" s="19"/>
      <c r="FO132" s="19"/>
      <c r="FP132" s="19"/>
      <c r="FQ132" s="19"/>
      <c r="FR132" s="19"/>
      <c r="FS132" s="19"/>
      <c r="FT132" s="19"/>
      <c r="FU132" s="19"/>
      <c r="FV132" s="19"/>
      <c r="FW132" s="19"/>
      <c r="FX132" s="19"/>
      <c r="FY132" s="19"/>
    </row>
    <row r="133" spans="1:181">
      <c r="A133" s="277" t="s">
        <v>195</v>
      </c>
      <c r="B133" s="54">
        <v>93.445648062712465</v>
      </c>
      <c r="C133" s="54">
        <v>11.728014943480513</v>
      </c>
      <c r="D133" s="54">
        <v>63.42082400694278</v>
      </c>
      <c r="E133" s="60">
        <v>4721.0642672618678</v>
      </c>
      <c r="F133" s="253">
        <v>4.5887637240444556</v>
      </c>
      <c r="G133" s="20">
        <v>4.2976854281162629</v>
      </c>
      <c r="H133" s="20">
        <v>4.6294290742108934</v>
      </c>
      <c r="I133" s="20">
        <v>7.0939633224558518</v>
      </c>
      <c r="J133" s="20">
        <v>7.8452021597411159</v>
      </c>
      <c r="K133" s="20">
        <v>1.0765616386167729</v>
      </c>
      <c r="L133" s="20">
        <v>1.8385018838405724</v>
      </c>
      <c r="M133" s="20">
        <v>3.3762942046082687</v>
      </c>
      <c r="N133" s="20">
        <v>4.0911482549025076</v>
      </c>
      <c r="O133" s="20">
        <v>1.2188903641993085</v>
      </c>
      <c r="P133" s="20">
        <v>2.0503897610235953</v>
      </c>
      <c r="Q133" s="20">
        <v>4.6165873846846504</v>
      </c>
      <c r="R133" s="20">
        <v>2.5105503023806652</v>
      </c>
      <c r="S133" s="20">
        <v>2.3082936923423252</v>
      </c>
      <c r="T133" s="20">
        <v>1.5538444326755012</v>
      </c>
      <c r="U133" s="20">
        <v>2.0161452556202781</v>
      </c>
      <c r="V133" s="268">
        <v>55.363733970018636</v>
      </c>
      <c r="W133" s="15">
        <v>6.2068166043511752</v>
      </c>
      <c r="X133" s="18" t="s">
        <v>174</v>
      </c>
      <c r="Y133" s="54">
        <v>19.262534289365718</v>
      </c>
      <c r="Z133" s="64">
        <v>192.62534289365718</v>
      </c>
      <c r="AA133" s="15">
        <v>0.14981971113951115</v>
      </c>
      <c r="AB133" s="54">
        <v>14.981971113951113</v>
      </c>
      <c r="AC133" s="68" t="s">
        <v>92</v>
      </c>
      <c r="AD133" s="68" t="s">
        <v>92</v>
      </c>
      <c r="AE133" s="15">
        <v>3.8525068578731436</v>
      </c>
      <c r="AF133" s="15">
        <v>0.68489010806633654</v>
      </c>
      <c r="AG133" s="15">
        <v>0.47086194929560637</v>
      </c>
      <c r="AH133" s="15">
        <v>0.5564732128038985</v>
      </c>
      <c r="AI133" s="304">
        <v>12.841689526243812</v>
      </c>
      <c r="AJ133" s="15"/>
    </row>
    <row r="134" spans="1:181">
      <c r="A134" s="277" t="s">
        <v>167</v>
      </c>
      <c r="B134" s="54">
        <v>92.202410188043785</v>
      </c>
      <c r="C134" s="54">
        <v>9.3150303420409148</v>
      </c>
      <c r="D134" s="54">
        <v>68.785620539260208</v>
      </c>
      <c r="E134" s="60">
        <v>4744.0963214291487</v>
      </c>
      <c r="F134" s="232" t="s">
        <v>212</v>
      </c>
      <c r="G134" s="59" t="s">
        <v>212</v>
      </c>
      <c r="H134" s="59" t="s">
        <v>212</v>
      </c>
      <c r="I134" s="59" t="s">
        <v>212</v>
      </c>
      <c r="J134" s="59" t="s">
        <v>212</v>
      </c>
      <c r="K134" s="59" t="s">
        <v>212</v>
      </c>
      <c r="L134" s="59" t="s">
        <v>212</v>
      </c>
      <c r="M134" s="59" t="s">
        <v>212</v>
      </c>
      <c r="N134" s="59" t="s">
        <v>212</v>
      </c>
      <c r="O134" s="59" t="s">
        <v>212</v>
      </c>
      <c r="P134" s="59" t="s">
        <v>212</v>
      </c>
      <c r="Q134" s="59" t="s">
        <v>212</v>
      </c>
      <c r="R134" s="59" t="s">
        <v>212</v>
      </c>
      <c r="S134" s="59" t="s">
        <v>212</v>
      </c>
      <c r="T134" s="59" t="s">
        <v>212</v>
      </c>
      <c r="U134" s="59" t="s">
        <v>212</v>
      </c>
      <c r="V134" s="233" t="s">
        <v>212</v>
      </c>
      <c r="W134" s="15">
        <v>6.3989650465396126</v>
      </c>
      <c r="X134" s="15">
        <v>0.49890235956071549</v>
      </c>
      <c r="Y134" s="54">
        <v>45.551954568587071</v>
      </c>
      <c r="Z134" s="64">
        <v>488.05665609200423</v>
      </c>
      <c r="AA134" s="15">
        <v>0.2494511797803578</v>
      </c>
      <c r="AB134" s="54">
        <v>40.129102834231468</v>
      </c>
      <c r="AC134" s="68" t="s">
        <v>92</v>
      </c>
      <c r="AD134" s="68" t="s">
        <v>92</v>
      </c>
      <c r="AE134" s="15">
        <v>4.3382813874844821</v>
      </c>
      <c r="AF134" s="15">
        <v>1.3014844162453449</v>
      </c>
      <c r="AG134" s="15">
        <v>0.87850198096560783</v>
      </c>
      <c r="AH134" s="15">
        <v>1.0845703468711205</v>
      </c>
      <c r="AI134" s="304">
        <v>11.930273815582328</v>
      </c>
      <c r="AJ134" s="15"/>
    </row>
    <row r="135" spans="1:181">
      <c r="A135" s="277" t="s">
        <v>168</v>
      </c>
      <c r="B135" s="54">
        <v>95.111270996373122</v>
      </c>
      <c r="C135" s="54">
        <v>11.169227572088575</v>
      </c>
      <c r="D135" s="54">
        <v>72.204376285349781</v>
      </c>
      <c r="E135" s="60">
        <v>5091.7780293196511</v>
      </c>
      <c r="F135" s="232" t="s">
        <v>212</v>
      </c>
      <c r="G135" s="59" t="s">
        <v>212</v>
      </c>
      <c r="H135" s="59" t="s">
        <v>212</v>
      </c>
      <c r="I135" s="59" t="s">
        <v>212</v>
      </c>
      <c r="J135" s="59" t="s">
        <v>212</v>
      </c>
      <c r="K135" s="59" t="s">
        <v>212</v>
      </c>
      <c r="L135" s="59" t="s">
        <v>212</v>
      </c>
      <c r="M135" s="59" t="s">
        <v>212</v>
      </c>
      <c r="N135" s="59" t="s">
        <v>212</v>
      </c>
      <c r="O135" s="59" t="s">
        <v>212</v>
      </c>
      <c r="P135" s="59" t="s">
        <v>212</v>
      </c>
      <c r="Q135" s="59" t="s">
        <v>212</v>
      </c>
      <c r="R135" s="59" t="s">
        <v>212</v>
      </c>
      <c r="S135" s="59" t="s">
        <v>212</v>
      </c>
      <c r="T135" s="59" t="s">
        <v>212</v>
      </c>
      <c r="U135" s="59" t="s">
        <v>212</v>
      </c>
      <c r="V135" s="233" t="s">
        <v>212</v>
      </c>
      <c r="W135" s="15">
        <v>3.5747603458370905</v>
      </c>
      <c r="X135" s="15">
        <v>0.13668201322318285</v>
      </c>
      <c r="Y135" s="54">
        <v>88.317608544210472</v>
      </c>
      <c r="Z135" s="64">
        <v>241.82202339486196</v>
      </c>
      <c r="AA135" s="15">
        <v>0.34696203356654115</v>
      </c>
      <c r="AB135" s="54">
        <v>9.9883009663095184</v>
      </c>
      <c r="AC135" s="68" t="s">
        <v>92</v>
      </c>
      <c r="AD135" s="68" t="s">
        <v>92</v>
      </c>
      <c r="AE135" s="15">
        <v>2.733640264463657</v>
      </c>
      <c r="AF135" s="15">
        <v>1.0093440976481196</v>
      </c>
      <c r="AG135" s="15">
        <v>1.7873801729185452</v>
      </c>
      <c r="AH135" s="15">
        <v>1.0408861006996235</v>
      </c>
      <c r="AI135" s="304">
        <v>14.71960142403508</v>
      </c>
      <c r="AJ135" s="15"/>
    </row>
    <row r="136" spans="1:181">
      <c r="A136" s="216"/>
      <c r="B136" s="54"/>
      <c r="C136" s="54"/>
      <c r="D136" s="54"/>
      <c r="E136" s="60"/>
      <c r="F136" s="253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68"/>
      <c r="W136" s="15"/>
      <c r="X136" s="15"/>
      <c r="Y136" s="54"/>
      <c r="Z136" s="64"/>
      <c r="AA136" s="15"/>
      <c r="AB136" s="54"/>
      <c r="AC136" s="54"/>
      <c r="AD136" s="54"/>
      <c r="AE136" s="15"/>
      <c r="AF136" s="22"/>
      <c r="AG136" s="15"/>
      <c r="AH136" s="15"/>
      <c r="AI136" s="304"/>
      <c r="AJ136" s="15"/>
    </row>
    <row r="137" spans="1:181">
      <c r="A137" s="277" t="s">
        <v>64</v>
      </c>
      <c r="B137" s="54">
        <v>95.234383816433493</v>
      </c>
      <c r="C137" s="54">
        <v>6.5259301535106546</v>
      </c>
      <c r="D137" s="54">
        <v>40.78706345944159</v>
      </c>
      <c r="E137" s="60">
        <v>5558.1409653501669</v>
      </c>
      <c r="F137" s="253">
        <v>2.6734041823670269</v>
      </c>
      <c r="G137" s="20">
        <v>3.820048867027197</v>
      </c>
      <c r="H137" s="20">
        <v>4.3513695725565436</v>
      </c>
      <c r="I137" s="20">
        <v>7.5844455652934144</v>
      </c>
      <c r="J137" s="20">
        <v>2.3919932158020769</v>
      </c>
      <c r="K137" s="20">
        <v>1.1655454212205028</v>
      </c>
      <c r="L137" s="20">
        <v>2.1074321264770712</v>
      </c>
      <c r="M137" s="20">
        <v>4.3933712093572828</v>
      </c>
      <c r="N137" s="20">
        <v>3.0293680542532884</v>
      </c>
      <c r="O137" s="20">
        <v>0.90933543673599571</v>
      </c>
      <c r="P137" s="20">
        <v>2.3972434204021691</v>
      </c>
      <c r="Q137" s="20">
        <v>2.9327642896115895</v>
      </c>
      <c r="R137" s="20">
        <v>2.2995896148404511</v>
      </c>
      <c r="S137" s="20">
        <v>2.1053320446370343</v>
      </c>
      <c r="T137" s="20">
        <v>2.0822311443966277</v>
      </c>
      <c r="U137" s="20">
        <v>1.9341753746740236</v>
      </c>
      <c r="V137" s="268">
        <v>46.916878347345289</v>
      </c>
      <c r="W137" s="15">
        <v>0.59852332441052836</v>
      </c>
      <c r="X137" s="15">
        <v>0.39901554960701896</v>
      </c>
      <c r="Y137" s="54">
        <v>514.52005080905076</v>
      </c>
      <c r="Z137" s="64">
        <v>88.203437281551558</v>
      </c>
      <c r="AA137" s="15">
        <v>0.21000818400369417</v>
      </c>
      <c r="AB137" s="54">
        <v>57.752250601015902</v>
      </c>
      <c r="AC137" s="68" t="s">
        <v>92</v>
      </c>
      <c r="AD137" s="68" t="s">
        <v>92</v>
      </c>
      <c r="AE137" s="15">
        <v>0.70352741641237548</v>
      </c>
      <c r="AF137" s="22">
        <v>0.80853150841422261</v>
      </c>
      <c r="AG137" s="15">
        <v>0.25200982080443302</v>
      </c>
      <c r="AH137" s="15">
        <v>0.76652987161348385</v>
      </c>
      <c r="AI137" s="304">
        <v>12.60049104022165</v>
      </c>
      <c r="AJ137" s="15"/>
    </row>
    <row r="138" spans="1:181">
      <c r="A138" s="7"/>
      <c r="B138" s="15"/>
      <c r="C138" s="15"/>
      <c r="D138" s="15"/>
      <c r="E138" s="60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54"/>
      <c r="Z138" s="64"/>
      <c r="AA138" s="66"/>
      <c r="AB138" s="15"/>
      <c r="AC138" s="54"/>
      <c r="AD138" s="68"/>
      <c r="AE138" s="68"/>
      <c r="AF138" s="15"/>
      <c r="AG138" s="22"/>
      <c r="AH138" s="15"/>
      <c r="AI138" s="15"/>
    </row>
    <row r="139" spans="1:181">
      <c r="A139" s="7"/>
      <c r="B139" s="15"/>
      <c r="C139" s="15"/>
      <c r="D139" s="15"/>
      <c r="E139" s="60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54"/>
      <c r="Z139" s="64"/>
      <c r="AA139" s="66"/>
      <c r="AB139" s="15"/>
      <c r="AC139" s="54"/>
      <c r="AD139" s="68"/>
      <c r="AE139" s="68"/>
      <c r="AF139" s="15"/>
      <c r="AG139" s="22"/>
      <c r="AH139" s="15"/>
      <c r="AI139" s="15"/>
    </row>
    <row r="140" spans="1:181" ht="18.75">
      <c r="A140" s="7"/>
      <c r="B140" s="91"/>
      <c r="C140" s="105" t="s">
        <v>173</v>
      </c>
      <c r="D140" s="91"/>
      <c r="E140" s="91"/>
      <c r="F140" s="259"/>
      <c r="G140" s="260"/>
      <c r="H140" s="260"/>
      <c r="I140" s="261"/>
      <c r="J140" s="260"/>
      <c r="K140" s="260"/>
      <c r="L140" s="260"/>
      <c r="M140" s="262" t="s">
        <v>172</v>
      </c>
      <c r="N140" s="260"/>
      <c r="O140" s="260"/>
      <c r="P140" s="260"/>
      <c r="Q140" s="260"/>
      <c r="R140" s="260"/>
      <c r="S140" s="260"/>
      <c r="T140" s="260"/>
      <c r="U140" s="260"/>
      <c r="V140" s="263"/>
      <c r="W140" s="256"/>
      <c r="X140" s="95"/>
      <c r="Y140" s="95"/>
      <c r="Z140" s="95"/>
      <c r="AA140" s="107" t="s">
        <v>175</v>
      </c>
      <c r="AB140" s="95"/>
      <c r="AC140" s="95"/>
      <c r="AD140" s="95"/>
      <c r="AE140" s="95"/>
      <c r="AF140" s="95"/>
      <c r="AG140" s="95"/>
      <c r="AH140" s="95"/>
      <c r="AI140" s="300"/>
    </row>
    <row r="141" spans="1:181">
      <c r="A141" s="7"/>
      <c r="B141" s="91"/>
      <c r="C141" s="92" t="s">
        <v>39</v>
      </c>
      <c r="D141" s="91"/>
      <c r="E141" s="91"/>
      <c r="F141" s="259"/>
      <c r="G141" s="260"/>
      <c r="H141" s="260"/>
      <c r="I141" s="261"/>
      <c r="J141" s="260"/>
      <c r="K141" s="260"/>
      <c r="L141" s="260"/>
      <c r="M141" s="264" t="s">
        <v>179</v>
      </c>
      <c r="N141" s="260"/>
      <c r="O141" s="260"/>
      <c r="P141" s="260"/>
      <c r="Q141" s="260"/>
      <c r="R141" s="260"/>
      <c r="S141" s="260"/>
      <c r="T141" s="260"/>
      <c r="U141" s="260"/>
      <c r="V141" s="263"/>
      <c r="W141" s="256"/>
      <c r="X141" s="95"/>
      <c r="Y141" s="95"/>
      <c r="Z141" s="95"/>
      <c r="AA141" s="123" t="s">
        <v>179</v>
      </c>
      <c r="AB141" s="95"/>
      <c r="AC141" s="95"/>
      <c r="AD141" s="95"/>
      <c r="AE141" s="95"/>
      <c r="AF141" s="95"/>
      <c r="AG141" s="95"/>
      <c r="AH141" s="95"/>
      <c r="AI141" s="300"/>
    </row>
    <row r="142" spans="1:181">
      <c r="B142" s="119" t="s">
        <v>0</v>
      </c>
      <c r="C142" s="119" t="s">
        <v>1</v>
      </c>
      <c r="D142" s="119" t="s">
        <v>2</v>
      </c>
      <c r="E142" s="119" t="s">
        <v>3</v>
      </c>
      <c r="F142" s="316" t="s">
        <v>18</v>
      </c>
      <c r="G142" s="120" t="s">
        <v>19</v>
      </c>
      <c r="H142" s="120" t="s">
        <v>20</v>
      </c>
      <c r="I142" s="120" t="s">
        <v>21</v>
      </c>
      <c r="J142" s="120" t="s">
        <v>22</v>
      </c>
      <c r="K142" s="120" t="s">
        <v>23</v>
      </c>
      <c r="L142" s="120" t="s">
        <v>24</v>
      </c>
      <c r="M142" s="120" t="s">
        <v>25</v>
      </c>
      <c r="N142" s="120" t="s">
        <v>26</v>
      </c>
      <c r="O142" s="120" t="s">
        <v>27</v>
      </c>
      <c r="P142" s="120" t="s">
        <v>28</v>
      </c>
      <c r="Q142" s="120" t="s">
        <v>29</v>
      </c>
      <c r="R142" s="120" t="s">
        <v>30</v>
      </c>
      <c r="S142" s="120" t="s">
        <v>31</v>
      </c>
      <c r="T142" s="120" t="s">
        <v>32</v>
      </c>
      <c r="U142" s="120" t="s">
        <v>33</v>
      </c>
      <c r="V142" s="318" t="s">
        <v>17</v>
      </c>
      <c r="W142" s="219" t="s">
        <v>4</v>
      </c>
      <c r="X142" s="121" t="s">
        <v>5</v>
      </c>
      <c r="Y142" s="121" t="s">
        <v>6</v>
      </c>
      <c r="Z142" s="122" t="s">
        <v>7</v>
      </c>
      <c r="AA142" s="121" t="s">
        <v>8</v>
      </c>
      <c r="AB142" s="121" t="s">
        <v>9</v>
      </c>
      <c r="AC142" s="121" t="s">
        <v>10</v>
      </c>
      <c r="AD142" s="121" t="s">
        <v>11</v>
      </c>
      <c r="AE142" s="121" t="s">
        <v>12</v>
      </c>
      <c r="AF142" s="121" t="s">
        <v>13</v>
      </c>
      <c r="AG142" s="121" t="s">
        <v>14</v>
      </c>
      <c r="AH142" s="121" t="s">
        <v>15</v>
      </c>
      <c r="AI142" s="220" t="s">
        <v>16</v>
      </c>
    </row>
    <row r="143" spans="1:181" ht="13.5" thickBot="1">
      <c r="A143" s="35" t="s">
        <v>85</v>
      </c>
      <c r="B143" s="93" t="s">
        <v>93</v>
      </c>
      <c r="C143" s="93" t="s">
        <v>93</v>
      </c>
      <c r="D143" s="93" t="s">
        <v>93</v>
      </c>
      <c r="E143" s="93" t="s">
        <v>94</v>
      </c>
      <c r="F143" s="317" t="s">
        <v>93</v>
      </c>
      <c r="G143" s="94" t="s">
        <v>93</v>
      </c>
      <c r="H143" s="94" t="s">
        <v>93</v>
      </c>
      <c r="I143" s="94" t="s">
        <v>93</v>
      </c>
      <c r="J143" s="94" t="s">
        <v>93</v>
      </c>
      <c r="K143" s="94" t="s">
        <v>93</v>
      </c>
      <c r="L143" s="94" t="s">
        <v>93</v>
      </c>
      <c r="M143" s="94" t="s">
        <v>93</v>
      </c>
      <c r="N143" s="94" t="s">
        <v>93</v>
      </c>
      <c r="O143" s="94" t="s">
        <v>93</v>
      </c>
      <c r="P143" s="94" t="s">
        <v>93</v>
      </c>
      <c r="Q143" s="94" t="s">
        <v>93</v>
      </c>
      <c r="R143" s="94" t="s">
        <v>93</v>
      </c>
      <c r="S143" s="94" t="s">
        <v>93</v>
      </c>
      <c r="T143" s="94" t="s">
        <v>93</v>
      </c>
      <c r="U143" s="94" t="s">
        <v>93</v>
      </c>
      <c r="V143" s="319" t="s">
        <v>93</v>
      </c>
      <c r="W143" s="333" t="s">
        <v>93</v>
      </c>
      <c r="X143" s="329" t="s">
        <v>91</v>
      </c>
      <c r="Y143" s="330" t="s">
        <v>91</v>
      </c>
      <c r="Z143" s="331" t="s">
        <v>91</v>
      </c>
      <c r="AA143" s="330" t="s">
        <v>93</v>
      </c>
      <c r="AB143" s="330" t="s">
        <v>91</v>
      </c>
      <c r="AC143" s="330" t="s">
        <v>91</v>
      </c>
      <c r="AD143" s="330" t="s">
        <v>91</v>
      </c>
      <c r="AE143" s="330" t="s">
        <v>93</v>
      </c>
      <c r="AF143" s="330" t="s">
        <v>93</v>
      </c>
      <c r="AG143" s="330" t="s">
        <v>93</v>
      </c>
      <c r="AH143" s="330" t="s">
        <v>93</v>
      </c>
      <c r="AI143" s="332" t="s">
        <v>91</v>
      </c>
    </row>
    <row r="144" spans="1:181">
      <c r="A144" s="279" t="s">
        <v>160</v>
      </c>
      <c r="B144" s="68">
        <v>92.31</v>
      </c>
      <c r="C144" s="129">
        <v>16.73</v>
      </c>
      <c r="D144" s="129">
        <v>49.1</v>
      </c>
      <c r="E144" s="60">
        <v>5596.9300020066339</v>
      </c>
      <c r="F144" s="265">
        <v>1.993241424003436</v>
      </c>
      <c r="G144" s="13">
        <v>3.8239903406152873</v>
      </c>
      <c r="H144" s="13">
        <v>5.568076586618294</v>
      </c>
      <c r="I144" s="47">
        <v>8.200455206361962</v>
      </c>
      <c r="J144" s="47">
        <v>1.8307489166118516</v>
      </c>
      <c r="K144" s="47">
        <v>1.1807788870455138</v>
      </c>
      <c r="L144" s="47">
        <v>1.9174115872206965</v>
      </c>
      <c r="M144" s="47">
        <v>3.6614978332237031</v>
      </c>
      <c r="N144" s="47">
        <v>2.5240502814826118</v>
      </c>
      <c r="O144" s="47">
        <v>0.51997602365307027</v>
      </c>
      <c r="P144" s="47">
        <v>2.1882324328733374</v>
      </c>
      <c r="Q144" s="47">
        <v>2.8598681300918862</v>
      </c>
      <c r="R144" s="47">
        <v>2.599880118265351</v>
      </c>
      <c r="S144" s="47">
        <v>1.9499100886990135</v>
      </c>
      <c r="T144" s="47">
        <v>1.81</v>
      </c>
      <c r="U144" s="47">
        <v>2.2599999999999998</v>
      </c>
      <c r="V144" s="321">
        <v>44.85</v>
      </c>
      <c r="W144" s="258" t="s">
        <v>212</v>
      </c>
      <c r="X144" s="45" t="s">
        <v>212</v>
      </c>
      <c r="Y144" s="45" t="s">
        <v>212</v>
      </c>
      <c r="Z144" s="85">
        <v>27.202672652377963</v>
      </c>
      <c r="AA144" s="45" t="s">
        <v>212</v>
      </c>
      <c r="AB144" s="45" t="s">
        <v>212</v>
      </c>
      <c r="AC144" s="45" t="s">
        <v>212</v>
      </c>
      <c r="AD144" s="45" t="s">
        <v>212</v>
      </c>
      <c r="AE144" s="45">
        <v>0.62775398428564522</v>
      </c>
      <c r="AF144" s="18">
        <v>2.0925132809521507</v>
      </c>
      <c r="AG144" s="45" t="s">
        <v>212</v>
      </c>
      <c r="AH144" s="23">
        <v>0.41850265619043014</v>
      </c>
      <c r="AI144" s="323">
        <v>5.1266575383327693</v>
      </c>
      <c r="AJ144" s="13"/>
    </row>
    <row r="145" spans="1:36">
      <c r="A145" s="275" t="s">
        <v>159</v>
      </c>
      <c r="B145" s="68">
        <v>96.29</v>
      </c>
      <c r="C145" s="129">
        <v>16.690000000000001</v>
      </c>
      <c r="D145" s="129">
        <v>48.69</v>
      </c>
      <c r="E145" s="60">
        <v>5631.5157604146198</v>
      </c>
      <c r="F145" s="265">
        <v>2.0354681491652662</v>
      </c>
      <c r="G145" s="13">
        <v>3.9463157994020461</v>
      </c>
      <c r="H145" s="13">
        <v>5.742927992287715</v>
      </c>
      <c r="I145" s="47">
        <v>8.8688255070772293</v>
      </c>
      <c r="J145" s="47">
        <v>1.8796925255046588</v>
      </c>
      <c r="K145" s="47">
        <v>1.1631246566658664</v>
      </c>
      <c r="L145" s="47">
        <v>1.9316177333915279</v>
      </c>
      <c r="M145" s="47">
        <v>3.6243795105034584</v>
      </c>
      <c r="N145" s="47">
        <v>2.4508698122602182</v>
      </c>
      <c r="O145" s="47">
        <v>0.56079224517818549</v>
      </c>
      <c r="P145" s="47">
        <v>2.243168980712742</v>
      </c>
      <c r="Q145" s="47">
        <v>2.8974266000872917</v>
      </c>
      <c r="R145" s="47">
        <v>2.7831911427361802</v>
      </c>
      <c r="S145" s="47">
        <v>2.0770083154747612</v>
      </c>
      <c r="T145" s="47">
        <v>1.79</v>
      </c>
      <c r="U145" s="47">
        <v>2.35</v>
      </c>
      <c r="V145" s="321">
        <v>46.32</v>
      </c>
      <c r="W145" s="258" t="s">
        <v>212</v>
      </c>
      <c r="X145" s="45" t="s">
        <v>212</v>
      </c>
      <c r="Y145" s="45" t="s">
        <v>212</v>
      </c>
      <c r="Z145" s="85">
        <v>66.464266095192357</v>
      </c>
      <c r="AA145" s="45" t="s">
        <v>212</v>
      </c>
      <c r="AB145" s="45" t="s">
        <v>212</v>
      </c>
      <c r="AC145" s="45" t="s">
        <v>212</v>
      </c>
      <c r="AD145" s="45" t="s">
        <v>212</v>
      </c>
      <c r="AE145" s="45">
        <v>0.70618282726141879</v>
      </c>
      <c r="AF145" s="45">
        <v>1.9731578997010231</v>
      </c>
      <c r="AG145" s="45" t="s">
        <v>212</v>
      </c>
      <c r="AH145" s="23">
        <v>0.4569418294044475</v>
      </c>
      <c r="AI145" s="304">
        <v>5.1925207886869034</v>
      </c>
      <c r="AJ145" s="13"/>
    </row>
    <row r="146" spans="1:36">
      <c r="A146" s="275" t="s">
        <v>90</v>
      </c>
      <c r="B146" s="139">
        <v>91.953415905171539</v>
      </c>
      <c r="C146" s="139">
        <v>16.196454016472622</v>
      </c>
      <c r="D146" s="139">
        <v>43.656344470550877</v>
      </c>
      <c r="E146" s="60">
        <v>5766.735904045705</v>
      </c>
      <c r="F146" s="265">
        <v>1.8052619183956169</v>
      </c>
      <c r="G146" s="13">
        <v>3.0558951751154719</v>
      </c>
      <c r="H146" s="13">
        <v>4.8285318781183975</v>
      </c>
      <c r="I146" s="47">
        <v>7.3732986787483625</v>
      </c>
      <c r="J146" s="47">
        <v>1.6312607696345935</v>
      </c>
      <c r="K146" s="47">
        <v>1.0222567489710119</v>
      </c>
      <c r="L146" s="47">
        <v>1.7073862722175412</v>
      </c>
      <c r="M146" s="47">
        <v>3.2625215392691871</v>
      </c>
      <c r="N146" s="47">
        <v>2.2620149338933029</v>
      </c>
      <c r="O146" s="47">
        <v>0.46762808729525013</v>
      </c>
      <c r="P146" s="47">
        <v>1.9357627799663844</v>
      </c>
      <c r="Q146" s="47">
        <v>2.4903914416421462</v>
      </c>
      <c r="R146" s="47">
        <v>2.3055152210835588</v>
      </c>
      <c r="S146" s="47">
        <v>1.761761631205361</v>
      </c>
      <c r="T146" s="47">
        <v>1.59</v>
      </c>
      <c r="U146" s="47">
        <v>2.06</v>
      </c>
      <c r="V146" s="306">
        <v>39.590000000000003</v>
      </c>
      <c r="W146" s="258" t="s">
        <v>212</v>
      </c>
      <c r="X146" s="45" t="s">
        <v>212</v>
      </c>
      <c r="Y146" s="45" t="s">
        <v>212</v>
      </c>
      <c r="Z146" s="85">
        <v>64.997002956633779</v>
      </c>
      <c r="AA146" s="45" t="s">
        <v>212</v>
      </c>
      <c r="AB146" s="45" t="s">
        <v>212</v>
      </c>
      <c r="AC146" s="45" t="s">
        <v>212</v>
      </c>
      <c r="AD146" s="45" t="s">
        <v>212</v>
      </c>
      <c r="AE146" s="45">
        <v>0.6391371957402322</v>
      </c>
      <c r="AF146" s="45">
        <v>1.7332534121769008</v>
      </c>
      <c r="AG146" s="45" t="s">
        <v>212</v>
      </c>
      <c r="AH146" s="23">
        <v>0.41164768539201396</v>
      </c>
      <c r="AI146" s="304">
        <v>4.766446883486477</v>
      </c>
      <c r="AJ146" s="13"/>
    </row>
    <row r="147" spans="1:36">
      <c r="A147" s="275" t="s">
        <v>89</v>
      </c>
      <c r="B147" s="139">
        <v>96.06</v>
      </c>
      <c r="C147" s="139">
        <v>19.579999999999998</v>
      </c>
      <c r="D147" s="139">
        <v>42.55</v>
      </c>
      <c r="E147" s="60">
        <v>5650.9958085498138</v>
      </c>
      <c r="F147" s="265">
        <v>1.8322355793035079</v>
      </c>
      <c r="G147" s="13">
        <v>3.206412263781139</v>
      </c>
      <c r="H147" s="13">
        <v>4.8720809722388738</v>
      </c>
      <c r="I147" s="47">
        <v>7.6412552000498568</v>
      </c>
      <c r="J147" s="47">
        <v>1.6656687084577344</v>
      </c>
      <c r="K147" s="47">
        <v>1.0306325133582233</v>
      </c>
      <c r="L147" s="47">
        <v>1.696899996741317</v>
      </c>
      <c r="M147" s="47">
        <v>3.2168226932089996</v>
      </c>
      <c r="N147" s="47">
        <v>2.2382423269900809</v>
      </c>
      <c r="O147" s="47">
        <v>0.48929018310945949</v>
      </c>
      <c r="P147" s="47">
        <v>1.9675711618656988</v>
      </c>
      <c r="Q147" s="47">
        <v>2.4568613449751582</v>
      </c>
      <c r="R147" s="47">
        <v>2.3631674801244107</v>
      </c>
      <c r="S147" s="47">
        <v>1.7905938615920647</v>
      </c>
      <c r="T147" s="47">
        <v>1.6</v>
      </c>
      <c r="U147" s="47">
        <v>2.08</v>
      </c>
      <c r="V147" s="306">
        <v>40.18</v>
      </c>
      <c r="W147" s="258" t="s">
        <v>212</v>
      </c>
      <c r="X147" s="45" t="s">
        <v>212</v>
      </c>
      <c r="Y147" s="45" t="s">
        <v>212</v>
      </c>
      <c r="Z147" s="85">
        <v>60.75982463464107</v>
      </c>
      <c r="AA147" s="45" t="s">
        <v>212</v>
      </c>
      <c r="AB147" s="45" t="s">
        <v>212</v>
      </c>
      <c r="AC147" s="45" t="s">
        <v>212</v>
      </c>
      <c r="AD147" s="45" t="s">
        <v>212</v>
      </c>
      <c r="AE147" s="15">
        <v>0.51331575984438149</v>
      </c>
      <c r="AF147" s="15">
        <v>1.780891411704997</v>
      </c>
      <c r="AG147" s="173" t="s">
        <v>212</v>
      </c>
      <c r="AH147" s="15">
        <v>0.32475078684032299</v>
      </c>
      <c r="AI147" s="304">
        <v>3.4570245050744064</v>
      </c>
      <c r="AJ147" s="13"/>
    </row>
    <row r="148" spans="1:36">
      <c r="A148" s="275" t="s">
        <v>88</v>
      </c>
      <c r="B148" s="139">
        <v>90.36</v>
      </c>
      <c r="C148" s="129">
        <v>16.37</v>
      </c>
      <c r="D148" s="129">
        <v>45.09</v>
      </c>
      <c r="E148" s="60">
        <v>5786.3982319129691</v>
      </c>
      <c r="F148" s="265">
        <v>1.8593079956465564</v>
      </c>
      <c r="G148" s="13">
        <v>3.1320485879046158</v>
      </c>
      <c r="H148" s="13">
        <v>5.1573662260196151</v>
      </c>
      <c r="I148" s="47">
        <v>7.5147031490714991</v>
      </c>
      <c r="J148" s="47">
        <v>1.6600964246844254</v>
      </c>
      <c r="K148" s="47">
        <v>1.0624617117980322</v>
      </c>
      <c r="L148" s="47">
        <v>1.7818368291612832</v>
      </c>
      <c r="M148" s="47">
        <v>3.4087313253520199</v>
      </c>
      <c r="N148" s="47">
        <v>2.3794715420476762</v>
      </c>
      <c r="O148" s="47">
        <v>0.45375968941374295</v>
      </c>
      <c r="P148" s="47">
        <v>2.0253176381149989</v>
      </c>
      <c r="Q148" s="47">
        <v>2.5012119465245339</v>
      </c>
      <c r="R148" s="47">
        <v>2.3241349945581957</v>
      </c>
      <c r="S148" s="47">
        <v>1.8039714481570757</v>
      </c>
      <c r="T148" s="47">
        <v>1.67</v>
      </c>
      <c r="U148" s="47">
        <v>2.12</v>
      </c>
      <c r="V148" s="321">
        <v>40.840000000000003</v>
      </c>
      <c r="W148" s="258" t="s">
        <v>212</v>
      </c>
      <c r="X148" s="45" t="s">
        <v>212</v>
      </c>
      <c r="Y148" s="45" t="s">
        <v>212</v>
      </c>
      <c r="Z148" s="85">
        <v>58.980209237298119</v>
      </c>
      <c r="AA148" s="45" t="s">
        <v>212</v>
      </c>
      <c r="AB148" s="45" t="s">
        <v>212</v>
      </c>
      <c r="AC148" s="45" t="s">
        <v>212</v>
      </c>
      <c r="AD148" s="45" t="s">
        <v>212</v>
      </c>
      <c r="AE148" s="45">
        <v>0.56873773193108901</v>
      </c>
      <c r="AF148" s="45">
        <v>1.8957924397702968</v>
      </c>
      <c r="AG148" s="45" t="s">
        <v>212</v>
      </c>
      <c r="AH148" s="23">
        <v>0.35809412751216718</v>
      </c>
      <c r="AI148" s="304">
        <v>4.0022284839595157</v>
      </c>
      <c r="AJ148" s="13"/>
    </row>
    <row r="149" spans="1:36">
      <c r="A149" s="275" t="s">
        <v>87</v>
      </c>
      <c r="B149" s="139">
        <v>94.95</v>
      </c>
      <c r="C149" s="129">
        <v>16.95</v>
      </c>
      <c r="D149" s="129">
        <v>44.14</v>
      </c>
      <c r="E149" s="60">
        <v>5696.334675284299</v>
      </c>
      <c r="F149" s="265">
        <v>1.8747280793284047</v>
      </c>
      <c r="G149" s="13">
        <v>3.2860402289351813</v>
      </c>
      <c r="H149" s="13">
        <v>5.0870430467169632</v>
      </c>
      <c r="I149" s="47">
        <v>7.9307317063724083</v>
      </c>
      <c r="J149" s="47">
        <v>1.7062131957932671</v>
      </c>
      <c r="K149" s="47">
        <v>1.0637502023155554</v>
      </c>
      <c r="L149" s="47">
        <v>1.7483419166770515</v>
      </c>
      <c r="M149" s="47">
        <v>3.3176367695980193</v>
      </c>
      <c r="N149" s="47">
        <v>2.3276118288290868</v>
      </c>
      <c r="O149" s="47">
        <v>0.51607683082635858</v>
      </c>
      <c r="P149" s="47">
        <v>2.0327107826425959</v>
      </c>
      <c r="Q149" s="47">
        <v>2.6330450552365234</v>
      </c>
      <c r="R149" s="47">
        <v>2.4645301717013859</v>
      </c>
      <c r="S149" s="47">
        <v>1.8536637188865124</v>
      </c>
      <c r="T149" s="47">
        <v>1.71</v>
      </c>
      <c r="U149" s="47">
        <v>2.14</v>
      </c>
      <c r="V149" s="321">
        <v>41.71</v>
      </c>
      <c r="W149" s="258" t="s">
        <v>212</v>
      </c>
      <c r="X149" s="45" t="s">
        <v>212</v>
      </c>
      <c r="Y149" s="45" t="s">
        <v>212</v>
      </c>
      <c r="Z149" s="85">
        <v>21.027888046002722</v>
      </c>
      <c r="AA149" s="45" t="s">
        <v>212</v>
      </c>
      <c r="AB149" s="45" t="s">
        <v>212</v>
      </c>
      <c r="AC149" s="45" t="s">
        <v>212</v>
      </c>
      <c r="AD149" s="45" t="s">
        <v>212</v>
      </c>
      <c r="AE149" s="45">
        <v>0.55336547489480847</v>
      </c>
      <c r="AF149" s="45">
        <v>1.8814426146423489</v>
      </c>
      <c r="AG149" s="45" t="s">
        <v>212</v>
      </c>
      <c r="AH149" s="23">
        <v>0.35415390393267743</v>
      </c>
      <c r="AI149" s="304">
        <v>3.7628852292846973</v>
      </c>
      <c r="AJ149" s="13"/>
    </row>
    <row r="150" spans="1:36">
      <c r="A150" s="275" t="s">
        <v>86</v>
      </c>
      <c r="B150" s="68">
        <v>95.46</v>
      </c>
      <c r="C150" s="129">
        <v>18.63</v>
      </c>
      <c r="D150" s="129">
        <v>40.9</v>
      </c>
      <c r="E150" s="60">
        <v>5606.0264334746216</v>
      </c>
      <c r="F150" s="265">
        <v>1.6447055978687326</v>
      </c>
      <c r="G150" s="13">
        <v>2.6189579583897014</v>
      </c>
      <c r="H150" s="13">
        <v>4.5674626794316397</v>
      </c>
      <c r="I150" s="47">
        <v>6.2959749319688427</v>
      </c>
      <c r="J150" s="47">
        <v>1.5189956158660269</v>
      </c>
      <c r="K150" s="47">
        <v>0.92187320135317496</v>
      </c>
      <c r="L150" s="47">
        <v>1.5923264387009386</v>
      </c>
      <c r="M150" s="47">
        <v>2.9960879043978186</v>
      </c>
      <c r="N150" s="47">
        <v>2.0742147030446434</v>
      </c>
      <c r="O150" s="47">
        <v>0.39808160967523465</v>
      </c>
      <c r="P150" s="47">
        <v>1.7913672435385559</v>
      </c>
      <c r="Q150" s="47">
        <v>2.158021357713114</v>
      </c>
      <c r="R150" s="47">
        <v>2.1370696940459966</v>
      </c>
      <c r="S150" s="47">
        <v>1.676133093369409</v>
      </c>
      <c r="T150" s="47">
        <v>1.47</v>
      </c>
      <c r="U150" s="47">
        <v>1.92</v>
      </c>
      <c r="V150" s="321">
        <v>35.83</v>
      </c>
      <c r="W150" s="258" t="s">
        <v>212</v>
      </c>
      <c r="X150" s="45" t="s">
        <v>212</v>
      </c>
      <c r="Y150" s="45" t="s">
        <v>212</v>
      </c>
      <c r="Z150" s="85">
        <v>54.134233024876373</v>
      </c>
      <c r="AA150" s="45" t="s">
        <v>212</v>
      </c>
      <c r="AB150" s="45" t="s">
        <v>212</v>
      </c>
      <c r="AC150" s="45" t="s">
        <v>212</v>
      </c>
      <c r="AD150" s="45" t="s">
        <v>212</v>
      </c>
      <c r="AE150" s="45">
        <v>0.5829840479602072</v>
      </c>
      <c r="AF150" s="45">
        <v>1.8738772970149513</v>
      </c>
      <c r="AG150" s="45" t="s">
        <v>212</v>
      </c>
      <c r="AH150" s="23">
        <v>0.35395460054726857</v>
      </c>
      <c r="AI150" s="304">
        <v>3.9559631825871198</v>
      </c>
      <c r="AJ150" s="13"/>
    </row>
    <row r="151" spans="1:36">
      <c r="A151" s="275" t="s">
        <v>158</v>
      </c>
      <c r="B151" s="68">
        <v>95.58</v>
      </c>
      <c r="C151" s="68">
        <v>12.8</v>
      </c>
      <c r="D151" s="129">
        <v>44.42</v>
      </c>
      <c r="E151" s="60">
        <v>5737.9485909038694</v>
      </c>
      <c r="F151" s="265">
        <v>1.78</v>
      </c>
      <c r="G151" s="13">
        <v>3.16</v>
      </c>
      <c r="H151" s="13">
        <v>4.9400000000000004</v>
      </c>
      <c r="I151" s="13">
        <v>7.41</v>
      </c>
      <c r="J151" s="13">
        <v>1.69</v>
      </c>
      <c r="K151" s="13">
        <v>1.03</v>
      </c>
      <c r="L151" s="47">
        <v>1.747248589595046</v>
      </c>
      <c r="M151" s="47">
        <v>3.2224704526663124</v>
      </c>
      <c r="N151" s="47">
        <v>2.2599143434283229</v>
      </c>
      <c r="O151" s="47">
        <v>0.47081548821423397</v>
      </c>
      <c r="P151" s="47">
        <v>1.998350183309304</v>
      </c>
      <c r="Q151" s="47">
        <v>2.4691656715235379</v>
      </c>
      <c r="R151" s="47">
        <v>2.3122271754521266</v>
      </c>
      <c r="S151" s="47">
        <v>1.7577111559998067</v>
      </c>
      <c r="T151" s="47">
        <v>1.66</v>
      </c>
      <c r="U151" s="47">
        <v>2.1</v>
      </c>
      <c r="V151" s="321">
        <v>39.97</v>
      </c>
      <c r="W151" s="258" t="s">
        <v>212</v>
      </c>
      <c r="X151" s="45" t="s">
        <v>212</v>
      </c>
      <c r="Y151" s="45" t="s">
        <v>212</v>
      </c>
      <c r="Z151" s="85">
        <v>36.975244111717451</v>
      </c>
      <c r="AA151" s="45" t="s">
        <v>212</v>
      </c>
      <c r="AB151" s="45" t="s">
        <v>212</v>
      </c>
      <c r="AC151" s="45" t="s">
        <v>212</v>
      </c>
      <c r="AD151" s="45" t="s">
        <v>212</v>
      </c>
      <c r="AE151" s="45">
        <v>0.56550373347332572</v>
      </c>
      <c r="AF151" s="45">
        <v>1.8487622055858728</v>
      </c>
      <c r="AG151" s="45" t="s">
        <v>212</v>
      </c>
      <c r="AH151" s="23">
        <v>0.35887736931961056</v>
      </c>
      <c r="AI151" s="304">
        <v>3.8062751291473851</v>
      </c>
      <c r="AJ151" s="13"/>
    </row>
    <row r="152" spans="1:36">
      <c r="A152" s="275" t="s">
        <v>195</v>
      </c>
      <c r="B152" s="129">
        <v>93.152766531713866</v>
      </c>
      <c r="C152" s="129">
        <v>6.9540185275186763</v>
      </c>
      <c r="D152" s="129">
        <v>68.439191205658162</v>
      </c>
      <c r="E152" s="60">
        <v>4698.3220700430556</v>
      </c>
      <c r="F152" s="267">
        <v>4.5946032086367223</v>
      </c>
      <c r="G152" s="47">
        <v>4.1759360938310399</v>
      </c>
      <c r="H152" s="47">
        <v>6.3229469389883866</v>
      </c>
      <c r="I152" s="47">
        <v>9.3717023391118186</v>
      </c>
      <c r="J152" s="47">
        <v>4.7770991304750972</v>
      </c>
      <c r="K152" s="47">
        <v>1.4277622120296356</v>
      </c>
      <c r="L152" s="47">
        <v>2.7267037733498305</v>
      </c>
      <c r="M152" s="47">
        <v>4.8307744016040308</v>
      </c>
      <c r="N152" s="47">
        <v>4.4550475037014952</v>
      </c>
      <c r="O152" s="47">
        <v>2.2650964416410009</v>
      </c>
      <c r="P152" s="47">
        <v>2.3831820381246551</v>
      </c>
      <c r="Q152" s="47">
        <v>4.0793206057989586</v>
      </c>
      <c r="R152" s="47">
        <v>2.9414048578655652</v>
      </c>
      <c r="S152" s="47">
        <v>3.0380203458976456</v>
      </c>
      <c r="T152" s="47">
        <v>2.23</v>
      </c>
      <c r="U152" s="47">
        <v>3.96</v>
      </c>
      <c r="V152" s="266">
        <v>63.551521016657468</v>
      </c>
      <c r="W152" s="258" t="s">
        <v>212</v>
      </c>
      <c r="X152" s="45" t="s">
        <v>212</v>
      </c>
      <c r="Y152" s="45" t="s">
        <v>212</v>
      </c>
      <c r="Z152" s="45" t="s">
        <v>212</v>
      </c>
      <c r="AA152" s="45" t="s">
        <v>212</v>
      </c>
      <c r="AB152" s="45" t="s">
        <v>212</v>
      </c>
      <c r="AC152" s="45" t="s">
        <v>212</v>
      </c>
      <c r="AD152" s="45" t="s">
        <v>212</v>
      </c>
      <c r="AE152" s="18" t="s">
        <v>212</v>
      </c>
      <c r="AF152" s="45" t="s">
        <v>212</v>
      </c>
      <c r="AG152" s="45" t="s">
        <v>212</v>
      </c>
      <c r="AH152" s="45" t="s">
        <v>212</v>
      </c>
      <c r="AI152" s="306" t="s">
        <v>212</v>
      </c>
      <c r="AJ152" s="129"/>
    </row>
    <row r="153" spans="1:36">
      <c r="A153" s="43"/>
      <c r="B153" s="43"/>
      <c r="C153" s="43"/>
      <c r="D153" s="43"/>
      <c r="E153" s="135"/>
      <c r="F153" s="43"/>
      <c r="G153" s="43"/>
      <c r="H153" s="43"/>
      <c r="I153" s="89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128"/>
      <c r="X153" s="128"/>
      <c r="Y153" s="128"/>
      <c r="Z153" s="26"/>
      <c r="AA153" s="128"/>
      <c r="AB153" s="128"/>
      <c r="AC153" s="128"/>
      <c r="AD153" s="128"/>
      <c r="AE153" s="26"/>
      <c r="AF153" s="128"/>
      <c r="AG153" s="128"/>
      <c r="AH153" s="128"/>
      <c r="AI153" s="128"/>
    </row>
    <row r="154" spans="1:36">
      <c r="A154" s="43"/>
      <c r="E154" s="135"/>
    </row>
    <row r="155" spans="1:36" ht="18.75">
      <c r="A155" s="7"/>
      <c r="B155" s="91"/>
      <c r="C155" s="105" t="s">
        <v>173</v>
      </c>
      <c r="D155" s="91"/>
      <c r="E155" s="91"/>
      <c r="F155" s="259"/>
      <c r="G155" s="260"/>
      <c r="H155" s="260"/>
      <c r="I155" s="261"/>
      <c r="J155" s="260"/>
      <c r="K155" s="260"/>
      <c r="L155" s="260"/>
      <c r="M155" s="262" t="s">
        <v>172</v>
      </c>
      <c r="N155" s="260"/>
      <c r="O155" s="260"/>
      <c r="P155" s="260"/>
      <c r="Q155" s="260"/>
      <c r="R155" s="260"/>
      <c r="S155" s="260"/>
      <c r="T155" s="260"/>
      <c r="U155" s="260"/>
      <c r="V155" s="263"/>
      <c r="W155" s="256"/>
      <c r="X155" s="95"/>
      <c r="Y155" s="95"/>
      <c r="Z155" s="95"/>
      <c r="AA155" s="107" t="s">
        <v>175</v>
      </c>
      <c r="AB155" s="95"/>
      <c r="AC155" s="95"/>
      <c r="AD155" s="95"/>
      <c r="AE155" s="95"/>
      <c r="AF155" s="95"/>
      <c r="AG155" s="95"/>
      <c r="AH155" s="95"/>
      <c r="AI155" s="300"/>
    </row>
    <row r="156" spans="1:36">
      <c r="A156" s="7"/>
      <c r="B156" s="91"/>
      <c r="C156" s="92" t="s">
        <v>39</v>
      </c>
      <c r="D156" s="91"/>
      <c r="E156" s="91"/>
      <c r="F156" s="259"/>
      <c r="G156" s="260"/>
      <c r="H156" s="260"/>
      <c r="I156" s="261"/>
      <c r="J156" s="260"/>
      <c r="K156" s="260"/>
      <c r="L156" s="260"/>
      <c r="M156" s="264" t="s">
        <v>179</v>
      </c>
      <c r="N156" s="260"/>
      <c r="O156" s="260"/>
      <c r="P156" s="260"/>
      <c r="Q156" s="260"/>
      <c r="R156" s="260"/>
      <c r="S156" s="260"/>
      <c r="T156" s="260"/>
      <c r="U156" s="260"/>
      <c r="V156" s="263"/>
      <c r="W156" s="256"/>
      <c r="X156" s="95"/>
      <c r="Y156" s="95"/>
      <c r="Z156" s="95"/>
      <c r="AA156" s="123" t="s">
        <v>179</v>
      </c>
      <c r="AB156" s="95"/>
      <c r="AC156" s="95"/>
      <c r="AD156" s="95"/>
      <c r="AE156" s="95"/>
      <c r="AF156" s="95"/>
      <c r="AG156" s="95"/>
      <c r="AH156" s="95"/>
      <c r="AI156" s="300"/>
    </row>
    <row r="157" spans="1:36">
      <c r="B157" s="427" t="s">
        <v>0</v>
      </c>
      <c r="C157" s="427" t="s">
        <v>1</v>
      </c>
      <c r="D157" s="427" t="s">
        <v>2</v>
      </c>
      <c r="E157" s="427" t="s">
        <v>3</v>
      </c>
      <c r="F157" s="316" t="s">
        <v>18</v>
      </c>
      <c r="G157" s="120" t="s">
        <v>19</v>
      </c>
      <c r="H157" s="120" t="s">
        <v>20</v>
      </c>
      <c r="I157" s="120" t="s">
        <v>21</v>
      </c>
      <c r="J157" s="120" t="s">
        <v>22</v>
      </c>
      <c r="K157" s="120" t="s">
        <v>23</v>
      </c>
      <c r="L157" s="120" t="s">
        <v>24</v>
      </c>
      <c r="M157" s="120" t="s">
        <v>25</v>
      </c>
      <c r="N157" s="120" t="s">
        <v>26</v>
      </c>
      <c r="O157" s="120" t="s">
        <v>27</v>
      </c>
      <c r="P157" s="120" t="s">
        <v>28</v>
      </c>
      <c r="Q157" s="120" t="s">
        <v>29</v>
      </c>
      <c r="R157" s="120" t="s">
        <v>30</v>
      </c>
      <c r="S157" s="120" t="s">
        <v>31</v>
      </c>
      <c r="T157" s="120" t="s">
        <v>32</v>
      </c>
      <c r="U157" s="120" t="s">
        <v>33</v>
      </c>
      <c r="V157" s="318" t="s">
        <v>17</v>
      </c>
      <c r="W157" s="219" t="s">
        <v>4</v>
      </c>
      <c r="X157" s="121" t="s">
        <v>5</v>
      </c>
      <c r="Y157" s="121" t="s">
        <v>6</v>
      </c>
      <c r="Z157" s="122" t="s">
        <v>7</v>
      </c>
      <c r="AA157" s="121" t="s">
        <v>8</v>
      </c>
      <c r="AB157" s="121" t="s">
        <v>9</v>
      </c>
      <c r="AC157" s="121" t="s">
        <v>10</v>
      </c>
      <c r="AD157" s="121" t="s">
        <v>11</v>
      </c>
      <c r="AE157" s="121" t="s">
        <v>12</v>
      </c>
      <c r="AF157" s="121" t="s">
        <v>13</v>
      </c>
      <c r="AG157" s="121" t="s">
        <v>14</v>
      </c>
      <c r="AH157" s="121" t="s">
        <v>15</v>
      </c>
      <c r="AI157" s="220" t="s">
        <v>16</v>
      </c>
    </row>
    <row r="158" spans="1:36" ht="13.5" thickBot="1">
      <c r="A158" s="35" t="s">
        <v>267</v>
      </c>
      <c r="B158" s="93" t="s">
        <v>93</v>
      </c>
      <c r="C158" s="93" t="s">
        <v>93</v>
      </c>
      <c r="D158" s="93" t="s">
        <v>93</v>
      </c>
      <c r="E158" s="93" t="s">
        <v>94</v>
      </c>
      <c r="F158" s="317" t="s">
        <v>93</v>
      </c>
      <c r="G158" s="94" t="s">
        <v>93</v>
      </c>
      <c r="H158" s="94" t="s">
        <v>93</v>
      </c>
      <c r="I158" s="94" t="s">
        <v>93</v>
      </c>
      <c r="J158" s="94" t="s">
        <v>93</v>
      </c>
      <c r="K158" s="94" t="s">
        <v>93</v>
      </c>
      <c r="L158" s="94" t="s">
        <v>93</v>
      </c>
      <c r="M158" s="94" t="s">
        <v>93</v>
      </c>
      <c r="N158" s="94" t="s">
        <v>93</v>
      </c>
      <c r="O158" s="94" t="s">
        <v>93</v>
      </c>
      <c r="P158" s="94" t="s">
        <v>93</v>
      </c>
      <c r="Q158" s="94" t="s">
        <v>93</v>
      </c>
      <c r="R158" s="94" t="s">
        <v>93</v>
      </c>
      <c r="S158" s="94" t="s">
        <v>93</v>
      </c>
      <c r="T158" s="94" t="s">
        <v>93</v>
      </c>
      <c r="U158" s="94" t="s">
        <v>93</v>
      </c>
      <c r="V158" s="319" t="s">
        <v>93</v>
      </c>
      <c r="W158" s="333" t="s">
        <v>93</v>
      </c>
      <c r="X158" s="329" t="s">
        <v>91</v>
      </c>
      <c r="Y158" s="330" t="s">
        <v>91</v>
      </c>
      <c r="Z158" s="331" t="s">
        <v>91</v>
      </c>
      <c r="AA158" s="330" t="s">
        <v>93</v>
      </c>
      <c r="AB158" s="330" t="s">
        <v>91</v>
      </c>
      <c r="AC158" s="330" t="s">
        <v>91</v>
      </c>
      <c r="AD158" s="330" t="s">
        <v>91</v>
      </c>
      <c r="AE158" s="330" t="s">
        <v>93</v>
      </c>
      <c r="AF158" s="330" t="s">
        <v>93</v>
      </c>
      <c r="AG158" s="330" t="s">
        <v>93</v>
      </c>
      <c r="AH158" s="330" t="s">
        <v>93</v>
      </c>
      <c r="AI158" s="332" t="s">
        <v>91</v>
      </c>
    </row>
    <row r="159" spans="1:36">
      <c r="A159" s="429" t="s">
        <v>274</v>
      </c>
      <c r="B159" s="68">
        <v>94.9</v>
      </c>
      <c r="C159" s="129">
        <v>12.328767123287671</v>
      </c>
      <c r="D159" s="129">
        <v>62.17070600632244</v>
      </c>
      <c r="E159" s="433" t="s">
        <v>212</v>
      </c>
      <c r="F159" s="265">
        <v>4.8682824025289779</v>
      </c>
      <c r="G159" s="13">
        <v>4.2571127502634347</v>
      </c>
      <c r="H159" s="13">
        <v>4.8682824025289779</v>
      </c>
      <c r="I159" s="47">
        <v>7.4077976817702842</v>
      </c>
      <c r="J159" s="47">
        <v>8.314014752370916</v>
      </c>
      <c r="K159" s="47">
        <v>1.1169652265542676</v>
      </c>
      <c r="L159" s="47">
        <v>2.0653319283456271</v>
      </c>
      <c r="M159" s="47">
        <v>3.5616438356164379</v>
      </c>
      <c r="N159" s="47">
        <v>3.8356164383561642</v>
      </c>
      <c r="O159" s="47">
        <v>1.2434141201264488</v>
      </c>
      <c r="P159" s="47">
        <v>2.0231822971548996</v>
      </c>
      <c r="Q159" s="47">
        <v>4.6364594309799791</v>
      </c>
      <c r="R159" s="47">
        <v>2.2655426765015805</v>
      </c>
      <c r="S159" s="47">
        <v>2.2339304531085351</v>
      </c>
      <c r="T159" s="47">
        <v>1.5173867228661748</v>
      </c>
      <c r="U159" s="47">
        <v>2.5711275026343516</v>
      </c>
      <c r="V159" s="321">
        <v>56.786090621707046</v>
      </c>
      <c r="W159" s="62">
        <v>7.3761854583772388</v>
      </c>
      <c r="X159" s="68" t="s">
        <v>92</v>
      </c>
      <c r="Y159" s="69">
        <v>15.8</v>
      </c>
      <c r="Z159" s="26">
        <v>19</v>
      </c>
      <c r="AA159" s="428">
        <v>0.1791359325605901</v>
      </c>
      <c r="AB159" s="69">
        <v>15</v>
      </c>
      <c r="AC159" s="68" t="s">
        <v>92</v>
      </c>
      <c r="AD159" s="68" t="s">
        <v>92</v>
      </c>
      <c r="AE159" s="62">
        <v>4.4257112750263436</v>
      </c>
      <c r="AF159" s="62">
        <v>0.68493150684931503</v>
      </c>
      <c r="AG159" s="62">
        <v>0.55848261327713378</v>
      </c>
      <c r="AH159" s="62">
        <v>0.56902002107481553</v>
      </c>
      <c r="AI159" s="435">
        <v>12.6</v>
      </c>
    </row>
    <row r="160" spans="1:36">
      <c r="A160" s="335" t="s">
        <v>268</v>
      </c>
      <c r="B160" s="68">
        <v>94.6</v>
      </c>
      <c r="C160" s="129">
        <v>4.0169133192389008</v>
      </c>
      <c r="D160" s="129">
        <v>81.60676532769557</v>
      </c>
      <c r="E160" s="433" t="s">
        <v>212</v>
      </c>
      <c r="F160" s="265">
        <v>7.3572938689217766</v>
      </c>
      <c r="G160" s="13">
        <v>2.5158562367864694</v>
      </c>
      <c r="H160" s="13">
        <v>4.8097251585623679</v>
      </c>
      <c r="I160" s="47">
        <v>17.325581395348838</v>
      </c>
      <c r="J160" s="47">
        <v>2.1987315010570825</v>
      </c>
      <c r="K160" s="47">
        <v>1.6807610993657507</v>
      </c>
      <c r="L160" s="47">
        <v>3.382663847780127</v>
      </c>
      <c r="M160" s="47">
        <v>14.143763213530656</v>
      </c>
      <c r="N160" s="47">
        <v>1.0887949260042284</v>
      </c>
      <c r="O160" s="47">
        <v>1.8710359408033828</v>
      </c>
      <c r="P160" s="47">
        <v>5.338266384778013</v>
      </c>
      <c r="Q160" s="47">
        <v>8.0866807610993661</v>
      </c>
      <c r="R160" s="47">
        <v>4.1649048625792817</v>
      </c>
      <c r="S160" s="47">
        <v>2.7378435517970403</v>
      </c>
      <c r="T160" s="47">
        <v>4.4503171247357294</v>
      </c>
      <c r="U160" s="47">
        <v>3.7737843551797043</v>
      </c>
      <c r="V160" s="321">
        <v>84.926004228329816</v>
      </c>
      <c r="W160" s="62">
        <v>5.9196617336152224E-2</v>
      </c>
      <c r="X160" s="68" t="s">
        <v>92</v>
      </c>
      <c r="Y160" s="69">
        <v>126.8</v>
      </c>
      <c r="Z160" s="26">
        <v>62</v>
      </c>
      <c r="AA160" s="428">
        <v>6.5539112050739964E-2</v>
      </c>
      <c r="AB160" s="69">
        <v>7</v>
      </c>
      <c r="AC160" s="68" t="s">
        <v>92</v>
      </c>
      <c r="AD160" s="68" t="s">
        <v>92</v>
      </c>
      <c r="AE160" s="62">
        <v>0.31712473572938693</v>
      </c>
      <c r="AF160" s="62">
        <v>0.13742071881606768</v>
      </c>
      <c r="AG160" s="62">
        <v>0.2536997885835095</v>
      </c>
      <c r="AH160" s="62">
        <v>1.0570824524312898</v>
      </c>
      <c r="AI160" s="436">
        <v>5.3</v>
      </c>
    </row>
    <row r="161" spans="1:36">
      <c r="A161" s="335" t="s">
        <v>271</v>
      </c>
      <c r="B161" s="139">
        <v>94.3</v>
      </c>
      <c r="C161" s="139">
        <v>4.1357370095440089</v>
      </c>
      <c r="D161" s="139">
        <v>84.305408271474022</v>
      </c>
      <c r="E161" s="433" t="s">
        <v>212</v>
      </c>
      <c r="F161" s="265">
        <v>7.2746553552492053</v>
      </c>
      <c r="G161" s="13">
        <v>2.6193001060445389</v>
      </c>
      <c r="H161" s="13">
        <v>4.8674443266171794</v>
      </c>
      <c r="I161" s="47">
        <v>17.009544008483562</v>
      </c>
      <c r="J161" s="47">
        <v>2.2375397667020147</v>
      </c>
      <c r="K161" s="47">
        <v>1.6224814422057265</v>
      </c>
      <c r="L161" s="47">
        <v>3.3297985153764582</v>
      </c>
      <c r="M161" s="47">
        <v>13.806998939554614</v>
      </c>
      <c r="N161" s="47">
        <v>5.1007423117709436</v>
      </c>
      <c r="O161" s="47">
        <v>2.0572640509013786</v>
      </c>
      <c r="P161" s="47">
        <v>5.2492046659597031</v>
      </c>
      <c r="Q161" s="47">
        <v>7.8472958642629909</v>
      </c>
      <c r="R161" s="47">
        <v>4.1887592788971366</v>
      </c>
      <c r="S161" s="47">
        <v>2.767762460233298</v>
      </c>
      <c r="T161" s="47">
        <v>4.4432661717921533</v>
      </c>
      <c r="U161" s="47">
        <v>3.7221633085896078</v>
      </c>
      <c r="V161" s="306">
        <v>88.144220572640535</v>
      </c>
      <c r="W161" s="62">
        <v>9.1198303287380704E-3</v>
      </c>
      <c r="X161" s="68" t="s">
        <v>92</v>
      </c>
      <c r="Y161" s="69">
        <v>137.9</v>
      </c>
      <c r="Z161" s="26">
        <v>47</v>
      </c>
      <c r="AA161" s="428">
        <v>3.4994697773064694E-2</v>
      </c>
      <c r="AB161" s="69">
        <v>2</v>
      </c>
      <c r="AC161" s="68" t="s">
        <v>92</v>
      </c>
      <c r="AD161" s="68" t="s">
        <v>92</v>
      </c>
      <c r="AE161" s="62">
        <v>0.23329798515376463</v>
      </c>
      <c r="AF161" s="62">
        <v>0.13785790031813361</v>
      </c>
      <c r="AG161" s="62">
        <v>0.19088016967126195</v>
      </c>
      <c r="AH161" s="62">
        <v>1.5906680805938496</v>
      </c>
      <c r="AI161" s="436">
        <v>4.8</v>
      </c>
    </row>
    <row r="162" spans="1:36">
      <c r="A162" s="335" t="s">
        <v>272</v>
      </c>
      <c r="B162" s="139">
        <v>90.5</v>
      </c>
      <c r="C162" s="139">
        <v>2.5414364640883975</v>
      </c>
      <c r="D162" s="139">
        <v>87.955801104972366</v>
      </c>
      <c r="E162" s="433" t="s">
        <v>212</v>
      </c>
      <c r="F162" s="265">
        <v>8.3535911602209953</v>
      </c>
      <c r="G162" s="13">
        <v>2.8176795580110494</v>
      </c>
      <c r="H162" s="13">
        <v>5.5359116022099446</v>
      </c>
      <c r="I162" s="47">
        <v>19.613259668508288</v>
      </c>
      <c r="J162" s="47">
        <v>2.5303867403314917</v>
      </c>
      <c r="K162" s="47">
        <v>1.8232044198895028</v>
      </c>
      <c r="L162" s="47">
        <v>3.8895027624309391</v>
      </c>
      <c r="M162" s="47">
        <v>16.121546961325969</v>
      </c>
      <c r="N162" s="47">
        <v>1.2375690607734808</v>
      </c>
      <c r="O162" s="47">
        <v>2.0552486187845305</v>
      </c>
      <c r="P162" s="47">
        <v>6.0994475138121551</v>
      </c>
      <c r="Q162" s="47">
        <v>9.0939226519337009</v>
      </c>
      <c r="R162" s="47">
        <v>4.6961325966850831</v>
      </c>
      <c r="S162" s="47">
        <v>3.1381215469613259</v>
      </c>
      <c r="T162" s="47">
        <v>5.082872928176795</v>
      </c>
      <c r="U162" s="47">
        <v>4.2872928176795577</v>
      </c>
      <c r="V162" s="306">
        <v>96.375690607734811</v>
      </c>
      <c r="W162" s="62">
        <v>7.6243093922651927E-3</v>
      </c>
      <c r="X162" s="68" t="s">
        <v>92</v>
      </c>
      <c r="Y162" s="69">
        <v>187.8</v>
      </c>
      <c r="Z162" s="26">
        <v>38</v>
      </c>
      <c r="AA162" s="428">
        <v>3.4254143646408844E-2</v>
      </c>
      <c r="AB162" s="69">
        <v>2</v>
      </c>
      <c r="AC162" s="68" t="s">
        <v>92</v>
      </c>
      <c r="AD162" s="68" t="s">
        <v>92</v>
      </c>
      <c r="AE162" s="62">
        <v>0.22099447513812157</v>
      </c>
      <c r="AF162" s="62">
        <v>0.10497237569060773</v>
      </c>
      <c r="AG162" s="62">
        <v>0.19889502762430938</v>
      </c>
      <c r="AH162" s="62">
        <v>1.3259668508287292</v>
      </c>
      <c r="AI162" s="436">
        <v>4.0999999999999996</v>
      </c>
    </row>
    <row r="163" spans="1:36">
      <c r="A163" s="335" t="s">
        <v>273</v>
      </c>
      <c r="B163" s="139">
        <v>94.5</v>
      </c>
      <c r="C163" s="129">
        <v>1.3756613756613756</v>
      </c>
      <c r="D163" s="129">
        <v>28.148148148148149</v>
      </c>
      <c r="E163" s="433" t="s">
        <v>212</v>
      </c>
      <c r="F163" s="265">
        <v>1.1216931216931216</v>
      </c>
      <c r="G163" s="13">
        <v>1.3862433862433863</v>
      </c>
      <c r="H163" s="13">
        <v>1.5132275132275133</v>
      </c>
      <c r="I163" s="47">
        <v>7.2169312169312168</v>
      </c>
      <c r="J163" s="47">
        <v>1.0582010582010581</v>
      </c>
      <c r="K163" s="47">
        <v>0.63492063492063489</v>
      </c>
      <c r="L163" s="47">
        <v>1.1216931216931216</v>
      </c>
      <c r="M163" s="47">
        <v>2.052910052910053</v>
      </c>
      <c r="N163" s="47">
        <v>0.98412698412698407</v>
      </c>
      <c r="O163" s="47">
        <v>0.44444444444444442</v>
      </c>
      <c r="P163" s="47">
        <v>1.5767195767195767</v>
      </c>
      <c r="Q163" s="47">
        <v>3.3227513227513228</v>
      </c>
      <c r="R163" s="47">
        <v>1.0264550264550265</v>
      </c>
      <c r="S163" s="47">
        <v>0.87830687830687826</v>
      </c>
      <c r="T163" s="47">
        <v>0.91005291005291</v>
      </c>
      <c r="U163" s="47">
        <v>1.4814814814814814</v>
      </c>
      <c r="V163" s="321">
        <v>26.730158730158731</v>
      </c>
      <c r="W163" s="62">
        <v>0.23280423280423282</v>
      </c>
      <c r="X163" s="62">
        <v>0.01</v>
      </c>
      <c r="Y163" s="69">
        <v>105.8</v>
      </c>
      <c r="Z163" s="26">
        <v>74</v>
      </c>
      <c r="AA163" s="428">
        <v>0.25396825396825395</v>
      </c>
      <c r="AB163" s="69">
        <v>2.6</v>
      </c>
      <c r="AC163" s="68" t="s">
        <v>92</v>
      </c>
      <c r="AD163" s="68" t="s">
        <v>92</v>
      </c>
      <c r="AE163" s="62">
        <v>0.91005291005291</v>
      </c>
      <c r="AF163" s="62">
        <v>0.76190476190476197</v>
      </c>
      <c r="AG163" s="62">
        <v>3.3862433862433858E-2</v>
      </c>
      <c r="AH163" s="62">
        <v>0.33862433862433866</v>
      </c>
      <c r="AI163" s="436">
        <v>7.6</v>
      </c>
    </row>
    <row r="164" spans="1:36">
      <c r="A164" s="275"/>
      <c r="B164" s="139"/>
      <c r="C164" s="129"/>
      <c r="D164" s="129"/>
      <c r="E164" s="60"/>
      <c r="F164" s="265"/>
      <c r="G164" s="13"/>
      <c r="H164" s="13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321"/>
      <c r="W164" s="265"/>
      <c r="X164" s="428"/>
      <c r="Y164" s="428"/>
      <c r="Z164" s="174"/>
      <c r="AA164" s="428"/>
      <c r="AB164" s="428"/>
      <c r="AC164" s="428"/>
      <c r="AD164" s="428"/>
      <c r="AE164" s="428"/>
      <c r="AF164" s="428"/>
      <c r="AG164" s="428"/>
      <c r="AH164" s="13"/>
      <c r="AI164" s="187"/>
    </row>
    <row r="165" spans="1:36">
      <c r="A165" s="335" t="s">
        <v>64</v>
      </c>
      <c r="B165" s="68">
        <v>97.8</v>
      </c>
      <c r="C165" s="129">
        <v>11.554192229038856</v>
      </c>
      <c r="D165" s="129">
        <v>47.137014314928429</v>
      </c>
      <c r="E165" s="433" t="s">
        <v>212</v>
      </c>
      <c r="F165" s="265">
        <v>2.0858895705521472</v>
      </c>
      <c r="G165" s="13">
        <v>2.3926380368098159</v>
      </c>
      <c r="H165" s="13">
        <v>3.5787321063394684</v>
      </c>
      <c r="I165" s="47">
        <v>7.0347648261758691</v>
      </c>
      <c r="J165" s="47">
        <v>1.8200408997955011</v>
      </c>
      <c r="K165" s="47">
        <v>0.95092024539877307</v>
      </c>
      <c r="L165" s="47">
        <v>1.8098159509202454</v>
      </c>
      <c r="M165" s="47">
        <v>3.4969325153374236</v>
      </c>
      <c r="N165" s="47">
        <v>2.147239263803681</v>
      </c>
      <c r="O165" s="47">
        <v>0.72597137014314927</v>
      </c>
      <c r="P165" s="47">
        <v>1.9120654396728016</v>
      </c>
      <c r="Q165" s="47">
        <v>2.2903885480572601</v>
      </c>
      <c r="R165" s="47">
        <v>1.5950920245398774</v>
      </c>
      <c r="S165" s="47">
        <v>1.4314928425357873</v>
      </c>
      <c r="T165" s="47">
        <v>1.4928425357873212</v>
      </c>
      <c r="U165" s="47">
        <v>1.9018404907975461</v>
      </c>
      <c r="V165" s="434">
        <v>36.666666666666664</v>
      </c>
      <c r="W165" s="173">
        <v>0.3885480572597137</v>
      </c>
      <c r="X165" s="430" t="s">
        <v>92</v>
      </c>
      <c r="Y165" s="4">
        <v>400.1</v>
      </c>
      <c r="Z165" s="59">
        <v>20</v>
      </c>
      <c r="AA165" s="173">
        <v>0.20449897750511245</v>
      </c>
      <c r="AB165" s="4">
        <v>44.2</v>
      </c>
      <c r="AC165" s="430" t="s">
        <v>92</v>
      </c>
      <c r="AD165" s="430" t="s">
        <v>92</v>
      </c>
      <c r="AE165" s="173">
        <v>0.5112474437627812</v>
      </c>
      <c r="AF165" s="173">
        <v>0.95092024539877307</v>
      </c>
      <c r="AG165" s="173">
        <v>0.42944785276073616</v>
      </c>
      <c r="AH165" s="173">
        <v>0.74642126789366059</v>
      </c>
      <c r="AI165" s="291">
        <v>11.2</v>
      </c>
      <c r="AJ165" s="5"/>
    </row>
    <row r="166" spans="1:36">
      <c r="A166" s="275"/>
      <c r="B166" s="68"/>
      <c r="C166" s="68"/>
      <c r="D166" s="129"/>
      <c r="E166" s="60"/>
      <c r="F166" s="265"/>
      <c r="G166" s="13"/>
      <c r="H166" s="13"/>
      <c r="I166" s="13"/>
      <c r="J166" s="13"/>
      <c r="K166" s="13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13"/>
      <c r="W166" s="23"/>
      <c r="X166" s="45"/>
      <c r="Y166" s="45"/>
      <c r="Z166" s="85"/>
      <c r="AA166" s="45"/>
      <c r="AB166" s="45"/>
      <c r="AC166" s="45"/>
      <c r="AD166" s="45"/>
      <c r="AE166" s="45"/>
      <c r="AF166" s="45"/>
      <c r="AG166" s="45"/>
      <c r="AH166" s="23"/>
      <c r="AI166" s="304"/>
    </row>
    <row r="167" spans="1:36">
      <c r="A167" s="275"/>
      <c r="B167" s="129"/>
      <c r="C167" s="129"/>
      <c r="D167" s="129"/>
      <c r="E167" s="60"/>
      <c r="F167" s="26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23"/>
      <c r="X167" s="45"/>
      <c r="Y167" s="45"/>
      <c r="Z167" s="45"/>
      <c r="AA167" s="45"/>
      <c r="AB167" s="45"/>
      <c r="AC167" s="45"/>
      <c r="AD167" s="45"/>
      <c r="AE167" s="18"/>
      <c r="AF167" s="45"/>
      <c r="AG167" s="45"/>
      <c r="AH167" s="45"/>
      <c r="AI167" s="306"/>
    </row>
  </sheetData>
  <phoneticPr fontId="4" type="noConversion"/>
  <pageMargins left="0.75" right="0.75" top="1" bottom="1" header="0.5" footer="0.5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BB190"/>
  <sheetViews>
    <sheetView zoomScaleNormal="100" workbookViewId="0">
      <pane ySplit="1" topLeftCell="A2" activePane="bottomLeft" state="frozen"/>
      <selection pane="bottomLeft" activeCell="A3" sqref="A3"/>
    </sheetView>
  </sheetViews>
  <sheetFormatPr defaultColWidth="9.140625" defaultRowHeight="12.75"/>
  <cols>
    <col min="1" max="1" width="50.5703125" style="31" customWidth="1"/>
    <col min="2" max="2" width="7.5703125" style="31" customWidth="1"/>
    <col min="3" max="3" width="8.140625" style="37" customWidth="1"/>
    <col min="4" max="4" width="7.85546875" style="37" customWidth="1"/>
    <col min="5" max="5" width="7.7109375" style="37" bestFit="1" customWidth="1"/>
    <col min="6" max="6" width="7.42578125" style="37" bestFit="1" customWidth="1"/>
    <col min="7" max="22" width="5.7109375" style="37" bestFit="1" customWidth="1"/>
    <col min="23" max="23" width="8.42578125" style="37" bestFit="1" customWidth="1"/>
    <col min="24" max="25" width="8.7109375" style="37" customWidth="1"/>
    <col min="26" max="26" width="8.140625" style="39" customWidth="1"/>
    <col min="27" max="27" width="9" style="37" customWidth="1"/>
    <col min="28" max="29" width="9.28515625" style="31" bestFit="1" customWidth="1"/>
    <col min="30" max="30" width="11.85546875" style="31" customWidth="1"/>
    <col min="31" max="31" width="9.28515625" style="31" bestFit="1" customWidth="1"/>
    <col min="32" max="16384" width="9.140625" style="31"/>
  </cols>
  <sheetData>
    <row r="1" spans="1:29" ht="109.5" customHeight="1">
      <c r="B1" s="439" t="s">
        <v>264</v>
      </c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39"/>
      <c r="P1" s="439"/>
      <c r="Q1" s="439"/>
      <c r="R1" s="439"/>
      <c r="S1" s="439"/>
      <c r="T1" s="388"/>
      <c r="U1" s="388"/>
      <c r="V1" s="437"/>
      <c r="W1" s="437"/>
      <c r="X1" s="437"/>
      <c r="Y1" s="437"/>
      <c r="Z1" s="437"/>
      <c r="AA1" s="437"/>
      <c r="AB1" s="438"/>
      <c r="AC1" s="438"/>
    </row>
    <row r="2" spans="1:29">
      <c r="A2" s="9"/>
      <c r="I2" s="126" t="s">
        <v>207</v>
      </c>
      <c r="Y2" s="140"/>
    </row>
    <row r="3" spans="1:29" ht="18.75">
      <c r="A3" s="31" t="str">
        <f>'Nutrient Composition'!S1</f>
        <v>Last updated, November 2, 2011</v>
      </c>
      <c r="B3" s="225"/>
      <c r="C3" s="114" t="s">
        <v>173</v>
      </c>
      <c r="D3" s="99"/>
      <c r="E3" s="99"/>
      <c r="F3" s="212"/>
      <c r="G3" s="108"/>
      <c r="H3" s="108"/>
      <c r="I3" s="108"/>
      <c r="J3" s="108"/>
      <c r="K3" s="108"/>
      <c r="L3" s="113" t="s">
        <v>172</v>
      </c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217"/>
      <c r="Y3" s="112" t="s">
        <v>175</v>
      </c>
      <c r="Z3" s="130"/>
      <c r="AA3" s="218"/>
    </row>
    <row r="4" spans="1:29">
      <c r="A4" s="9"/>
      <c r="B4" s="211" t="s">
        <v>100</v>
      </c>
      <c r="C4" s="104" t="s">
        <v>176</v>
      </c>
      <c r="D4" s="99"/>
      <c r="E4" s="104" t="s">
        <v>101</v>
      </c>
      <c r="F4" s="212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217"/>
      <c r="Y4" s="110"/>
      <c r="Z4" s="130"/>
      <c r="AA4" s="218"/>
    </row>
    <row r="5" spans="1:29" s="9" customFormat="1" ht="16.5" thickBot="1">
      <c r="A5" s="73" t="s">
        <v>77</v>
      </c>
      <c r="B5" s="213" t="s">
        <v>99</v>
      </c>
      <c r="C5" s="100" t="s">
        <v>99</v>
      </c>
      <c r="D5" s="100" t="s">
        <v>1</v>
      </c>
      <c r="E5" s="101" t="s">
        <v>2</v>
      </c>
      <c r="F5" s="214" t="s">
        <v>3</v>
      </c>
      <c r="G5" s="103" t="s">
        <v>18</v>
      </c>
      <c r="H5" s="103" t="s">
        <v>19</v>
      </c>
      <c r="I5" s="103" t="s">
        <v>20</v>
      </c>
      <c r="J5" s="103" t="s">
        <v>21</v>
      </c>
      <c r="K5" s="103" t="s">
        <v>22</v>
      </c>
      <c r="L5" s="103" t="s">
        <v>23</v>
      </c>
      <c r="M5" s="103" t="s">
        <v>24</v>
      </c>
      <c r="N5" s="103" t="s">
        <v>25</v>
      </c>
      <c r="O5" s="103" t="s">
        <v>26</v>
      </c>
      <c r="P5" s="103" t="s">
        <v>27</v>
      </c>
      <c r="Q5" s="103" t="s">
        <v>28</v>
      </c>
      <c r="R5" s="103" t="s">
        <v>29</v>
      </c>
      <c r="S5" s="103" t="s">
        <v>30</v>
      </c>
      <c r="T5" s="103" t="s">
        <v>31</v>
      </c>
      <c r="U5" s="103" t="s">
        <v>32</v>
      </c>
      <c r="V5" s="103" t="s">
        <v>33</v>
      </c>
      <c r="W5" s="102" t="s">
        <v>17</v>
      </c>
      <c r="X5" s="223" t="s">
        <v>12</v>
      </c>
      <c r="Y5" s="111" t="s">
        <v>13</v>
      </c>
      <c r="Z5" s="111" t="s">
        <v>15</v>
      </c>
      <c r="AA5" s="224" t="s">
        <v>16</v>
      </c>
    </row>
    <row r="6" spans="1:29" s="19" customFormat="1">
      <c r="A6" s="31"/>
      <c r="B6" s="215"/>
      <c r="E6" s="28"/>
      <c r="F6" s="216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7"/>
      <c r="S6" s="38"/>
      <c r="T6" s="38"/>
      <c r="U6" s="38"/>
      <c r="V6" s="38"/>
      <c r="W6" s="28"/>
      <c r="X6" s="221"/>
      <c r="Y6" s="2"/>
      <c r="Z6" s="2"/>
      <c r="AA6" s="222"/>
    </row>
    <row r="7" spans="1:29" s="19" customFormat="1">
      <c r="A7" s="49" t="s">
        <v>190</v>
      </c>
      <c r="B7" s="320">
        <v>100</v>
      </c>
      <c r="C7" s="127" t="s">
        <v>208</v>
      </c>
      <c r="D7" s="135" t="s">
        <v>212</v>
      </c>
      <c r="E7" s="26">
        <v>97</v>
      </c>
      <c r="F7" s="207">
        <v>100</v>
      </c>
      <c r="G7" s="85">
        <v>97.006039454726377</v>
      </c>
      <c r="H7" s="85">
        <v>99.241062479636796</v>
      </c>
      <c r="I7" s="85">
        <v>97.004719315946787</v>
      </c>
      <c r="J7" s="85">
        <v>99.449874573870161</v>
      </c>
      <c r="K7" s="85">
        <v>101.46044358769997</v>
      </c>
      <c r="L7" s="85">
        <v>96.215558701810778</v>
      </c>
      <c r="M7" s="85">
        <v>100</v>
      </c>
      <c r="N7" s="85">
        <v>94.262029856286858</v>
      </c>
      <c r="O7" s="85">
        <v>97.56024377739891</v>
      </c>
      <c r="P7" s="85">
        <v>98.60574972476293</v>
      </c>
      <c r="Q7" s="85">
        <v>94.286912832074918</v>
      </c>
      <c r="R7" s="135" t="s">
        <v>212</v>
      </c>
      <c r="S7" s="85">
        <v>97.562343787727059</v>
      </c>
      <c r="T7" s="85">
        <v>97.448358198043891</v>
      </c>
      <c r="U7" s="85">
        <v>94.773942500575473</v>
      </c>
      <c r="V7" s="85">
        <v>90.069389766141555</v>
      </c>
      <c r="W7" s="26">
        <f t="shared" ref="W7:W29" si="0">AVERAGE(G7:V7)</f>
        <v>96.996444570446826</v>
      </c>
      <c r="X7" s="345">
        <v>79</v>
      </c>
      <c r="Y7" s="135" t="s">
        <v>212</v>
      </c>
      <c r="Z7" s="135" t="s">
        <v>212</v>
      </c>
      <c r="AA7" s="210" t="s">
        <v>212</v>
      </c>
    </row>
    <row r="8" spans="1:29" s="19" customFormat="1">
      <c r="A8" s="49" t="s">
        <v>191</v>
      </c>
      <c r="B8" s="320">
        <v>92</v>
      </c>
      <c r="C8" s="135" t="s">
        <v>212</v>
      </c>
      <c r="D8" s="135" t="s">
        <v>212</v>
      </c>
      <c r="E8" s="26">
        <v>89</v>
      </c>
      <c r="F8" s="207">
        <v>93</v>
      </c>
      <c r="G8" s="85">
        <v>98.107328591462135</v>
      </c>
      <c r="H8" s="85">
        <v>97.020116146895518</v>
      </c>
      <c r="I8" s="85">
        <v>97.110285135002911</v>
      </c>
      <c r="J8" s="85">
        <v>95.119913559234803</v>
      </c>
      <c r="K8" s="85">
        <v>95.651987466674044</v>
      </c>
      <c r="L8" s="85">
        <v>98.789182048143275</v>
      </c>
      <c r="M8" s="85">
        <v>94.085270710633779</v>
      </c>
      <c r="N8" s="85">
        <v>97.820981791690883</v>
      </c>
      <c r="O8" s="85">
        <v>99.046134137734228</v>
      </c>
      <c r="P8" s="85">
        <v>97.051433335654721</v>
      </c>
      <c r="Q8" s="85">
        <v>96.031422830078171</v>
      </c>
      <c r="R8" s="135" t="s">
        <v>212</v>
      </c>
      <c r="S8" s="85">
        <v>96.921546856897365</v>
      </c>
      <c r="T8" s="85">
        <v>96.662492530467276</v>
      </c>
      <c r="U8" s="85">
        <v>96.398201467234216</v>
      </c>
      <c r="V8" s="85">
        <v>94.993220398868232</v>
      </c>
      <c r="W8" s="26">
        <f t="shared" si="0"/>
        <v>96.720634467111438</v>
      </c>
      <c r="X8" s="345">
        <v>67</v>
      </c>
      <c r="Y8" s="135" t="s">
        <v>212</v>
      </c>
      <c r="Z8" s="135" t="s">
        <v>212</v>
      </c>
      <c r="AA8" s="210" t="s">
        <v>212</v>
      </c>
    </row>
    <row r="9" spans="1:29" s="19" customFormat="1">
      <c r="A9" s="49" t="s">
        <v>192</v>
      </c>
      <c r="B9" s="320">
        <v>96</v>
      </c>
      <c r="C9" s="135" t="s">
        <v>212</v>
      </c>
      <c r="D9" s="135" t="s">
        <v>212</v>
      </c>
      <c r="E9" s="26">
        <v>86</v>
      </c>
      <c r="F9" s="207">
        <v>99</v>
      </c>
      <c r="G9" s="85">
        <v>91.827974723593641</v>
      </c>
      <c r="H9" s="85">
        <v>92.387353825509308</v>
      </c>
      <c r="I9" s="85">
        <v>88.478438081226429</v>
      </c>
      <c r="J9" s="85">
        <v>93.726195520321895</v>
      </c>
      <c r="K9" s="85">
        <v>83.381034904220755</v>
      </c>
      <c r="L9" s="85">
        <v>92.002896450541542</v>
      </c>
      <c r="M9" s="85">
        <v>90.1604144868558</v>
      </c>
      <c r="N9" s="85">
        <v>94.083204228692523</v>
      </c>
      <c r="O9" s="85">
        <v>95.073825437045798</v>
      </c>
      <c r="P9" s="85">
        <v>93.834416217248148</v>
      </c>
      <c r="Q9" s="85">
        <v>92.33623592132794</v>
      </c>
      <c r="R9" s="135" t="s">
        <v>212</v>
      </c>
      <c r="S9" s="85">
        <v>93.691838367532526</v>
      </c>
      <c r="T9" s="85">
        <v>91.332357271316837</v>
      </c>
      <c r="U9" s="85">
        <v>91.968709768438814</v>
      </c>
      <c r="V9" s="85">
        <v>89.736343755722089</v>
      </c>
      <c r="W9" s="26">
        <f t="shared" si="0"/>
        <v>91.601415930639604</v>
      </c>
      <c r="X9" s="345">
        <v>46</v>
      </c>
      <c r="Y9" s="135" t="s">
        <v>212</v>
      </c>
      <c r="Z9" s="135" t="s">
        <v>212</v>
      </c>
      <c r="AA9" s="210" t="s">
        <v>212</v>
      </c>
    </row>
    <row r="10" spans="1:29" s="19" customFormat="1">
      <c r="A10" s="49" t="s">
        <v>193</v>
      </c>
      <c r="B10" s="320">
        <v>98</v>
      </c>
      <c r="C10" s="135" t="s">
        <v>212</v>
      </c>
      <c r="D10" s="135" t="s">
        <v>212</v>
      </c>
      <c r="E10" s="26">
        <v>90</v>
      </c>
      <c r="F10" s="207">
        <v>96</v>
      </c>
      <c r="G10" s="85">
        <v>100</v>
      </c>
      <c r="H10" s="85">
        <v>99.427085298621023</v>
      </c>
      <c r="I10" s="85">
        <v>100</v>
      </c>
      <c r="J10" s="85">
        <v>100</v>
      </c>
      <c r="K10" s="85">
        <v>99.303379509364675</v>
      </c>
      <c r="L10" s="85">
        <v>100</v>
      </c>
      <c r="M10" s="85">
        <v>98.249956491438866</v>
      </c>
      <c r="N10" s="85">
        <v>99.760429334129867</v>
      </c>
      <c r="O10" s="85">
        <v>100</v>
      </c>
      <c r="P10" s="85">
        <v>97.961249102338698</v>
      </c>
      <c r="Q10" s="85">
        <v>98.037307499150941</v>
      </c>
      <c r="R10" s="135" t="s">
        <v>212</v>
      </c>
      <c r="S10" s="85">
        <v>97.971567902730953</v>
      </c>
      <c r="T10" s="85">
        <v>99.939434222156535</v>
      </c>
      <c r="U10" s="85">
        <v>97.848984154642039</v>
      </c>
      <c r="V10" s="85">
        <v>98.651531576592333</v>
      </c>
      <c r="W10" s="26">
        <f t="shared" si="0"/>
        <v>99.143395006077739</v>
      </c>
      <c r="X10" s="345">
        <v>51</v>
      </c>
      <c r="Y10" s="135" t="s">
        <v>212</v>
      </c>
      <c r="Z10" s="135" t="s">
        <v>212</v>
      </c>
      <c r="AA10" s="210" t="s">
        <v>212</v>
      </c>
    </row>
    <row r="11" spans="1:29" s="19" customFormat="1">
      <c r="A11" s="49" t="s">
        <v>194</v>
      </c>
      <c r="B11" s="320">
        <v>95</v>
      </c>
      <c r="C11" s="135" t="s">
        <v>212</v>
      </c>
      <c r="D11" s="135" t="s">
        <v>212</v>
      </c>
      <c r="E11" s="26">
        <v>90</v>
      </c>
      <c r="F11" s="207">
        <v>95</v>
      </c>
      <c r="G11" s="85">
        <v>99.821094623370456</v>
      </c>
      <c r="H11" s="85">
        <v>98.459106788221632</v>
      </c>
      <c r="I11" s="85">
        <v>99.535760571631087</v>
      </c>
      <c r="J11" s="85">
        <v>99.928679989414988</v>
      </c>
      <c r="K11" s="85">
        <v>97.739244379306001</v>
      </c>
      <c r="L11" s="85">
        <v>98.341023643988976</v>
      </c>
      <c r="M11" s="85">
        <v>96.508098618442048</v>
      </c>
      <c r="N11" s="85">
        <v>99.010084060748639</v>
      </c>
      <c r="O11" s="85">
        <v>98.613759245109932</v>
      </c>
      <c r="P11" s="85">
        <v>97.184828322888777</v>
      </c>
      <c r="Q11" s="85">
        <v>97.70697606563543</v>
      </c>
      <c r="R11" s="135" t="s">
        <v>212</v>
      </c>
      <c r="S11" s="85">
        <v>96.555919103102426</v>
      </c>
      <c r="T11" s="85">
        <v>97.751092685130814</v>
      </c>
      <c r="U11" s="85">
        <v>97.516014113694595</v>
      </c>
      <c r="V11" s="85">
        <v>97.018137173321023</v>
      </c>
      <c r="W11" s="26">
        <f t="shared" si="0"/>
        <v>98.112654625600456</v>
      </c>
      <c r="X11" s="345">
        <v>56</v>
      </c>
      <c r="Y11" s="135" t="s">
        <v>212</v>
      </c>
      <c r="Z11" s="135" t="s">
        <v>212</v>
      </c>
      <c r="AA11" s="210" t="s">
        <v>212</v>
      </c>
    </row>
    <row r="12" spans="1:29" s="19" customFormat="1">
      <c r="A12" s="19" t="s">
        <v>47</v>
      </c>
      <c r="B12" s="320">
        <v>90</v>
      </c>
      <c r="C12" s="135" t="s">
        <v>212</v>
      </c>
      <c r="D12" s="135" t="s">
        <v>212</v>
      </c>
      <c r="E12" s="26">
        <v>91</v>
      </c>
      <c r="F12" s="207">
        <v>86</v>
      </c>
      <c r="G12" s="85">
        <v>87.467807804312756</v>
      </c>
      <c r="H12" s="85">
        <v>97.14660839229974</v>
      </c>
      <c r="I12" s="85">
        <v>88.139067799169837</v>
      </c>
      <c r="J12" s="85">
        <v>91.510144860877276</v>
      </c>
      <c r="K12" s="85">
        <v>91.31152863130329</v>
      </c>
      <c r="L12" s="85">
        <v>87.346744855951826</v>
      </c>
      <c r="M12" s="85">
        <v>86.107757695335366</v>
      </c>
      <c r="N12" s="85">
        <v>87.333955867321421</v>
      </c>
      <c r="O12" s="85">
        <v>90.103057383411965</v>
      </c>
      <c r="P12" s="85">
        <v>90.546450005542326</v>
      </c>
      <c r="Q12" s="85">
        <v>88.588029778868759</v>
      </c>
      <c r="R12" s="135" t="s">
        <v>212</v>
      </c>
      <c r="S12" s="85">
        <v>95.459460031963133</v>
      </c>
      <c r="T12" s="85">
        <v>90.124684163112263</v>
      </c>
      <c r="U12" s="85">
        <v>86.636227238745434</v>
      </c>
      <c r="V12" s="85">
        <v>80.530361937908282</v>
      </c>
      <c r="W12" s="26">
        <f t="shared" si="0"/>
        <v>89.223459096408263</v>
      </c>
      <c r="X12" s="345" t="s">
        <v>212</v>
      </c>
      <c r="Y12" s="135" t="s">
        <v>212</v>
      </c>
      <c r="Z12" s="135" t="s">
        <v>212</v>
      </c>
      <c r="AA12" s="210" t="s">
        <v>212</v>
      </c>
    </row>
    <row r="13" spans="1:29" s="19" customFormat="1">
      <c r="A13" s="19" t="s">
        <v>41</v>
      </c>
      <c r="B13" s="320">
        <v>91</v>
      </c>
      <c r="C13" s="135" t="s">
        <v>212</v>
      </c>
      <c r="D13" s="135" t="s">
        <v>212</v>
      </c>
      <c r="E13" s="26">
        <v>87</v>
      </c>
      <c r="F13" s="207">
        <v>88</v>
      </c>
      <c r="G13" s="85">
        <v>88.528679406482468</v>
      </c>
      <c r="H13" s="85">
        <v>92.047915673007026</v>
      </c>
      <c r="I13" s="85">
        <v>81.053871896106443</v>
      </c>
      <c r="J13" s="85">
        <v>86.490979347662844</v>
      </c>
      <c r="K13" s="85">
        <v>85.916307582650873</v>
      </c>
      <c r="L13" s="85">
        <v>87.782475825646316</v>
      </c>
      <c r="M13" s="85">
        <v>87.118309698769039</v>
      </c>
      <c r="N13" s="85">
        <v>88.195046737702981</v>
      </c>
      <c r="O13" s="85">
        <v>91.53262884626416</v>
      </c>
      <c r="P13" s="85">
        <v>85.290183811848905</v>
      </c>
      <c r="Q13" s="85">
        <v>90.973750632181449</v>
      </c>
      <c r="R13" s="135" t="s">
        <v>212</v>
      </c>
      <c r="S13" s="85">
        <v>90.944205607288254</v>
      </c>
      <c r="T13" s="85">
        <v>87.681653504056939</v>
      </c>
      <c r="U13" s="85">
        <v>86.149395114062642</v>
      </c>
      <c r="V13" s="85">
        <v>85.543476135269586</v>
      </c>
      <c r="W13" s="26">
        <f t="shared" si="0"/>
        <v>87.683258654599996</v>
      </c>
      <c r="X13" s="345" t="s">
        <v>212</v>
      </c>
      <c r="Y13" s="135" t="s">
        <v>212</v>
      </c>
      <c r="Z13" s="135" t="s">
        <v>212</v>
      </c>
      <c r="AA13" s="210" t="s">
        <v>212</v>
      </c>
    </row>
    <row r="14" spans="1:29" s="19" customFormat="1">
      <c r="A14" s="19" t="s">
        <v>48</v>
      </c>
      <c r="B14" s="320">
        <v>92</v>
      </c>
      <c r="C14" s="135" t="s">
        <v>212</v>
      </c>
      <c r="D14" s="135" t="s">
        <v>212</v>
      </c>
      <c r="E14" s="26">
        <v>88</v>
      </c>
      <c r="F14" s="207">
        <v>88</v>
      </c>
      <c r="G14" s="85">
        <v>88.558870117103893</v>
      </c>
      <c r="H14" s="85">
        <v>89.608004402765218</v>
      </c>
      <c r="I14" s="85">
        <v>76.689784954966129</v>
      </c>
      <c r="J14" s="85">
        <v>88.142871758346772</v>
      </c>
      <c r="K14" s="85">
        <v>85.540890888813848</v>
      </c>
      <c r="L14" s="85">
        <v>78.162856283362828</v>
      </c>
      <c r="M14" s="85">
        <v>77.182537172954085</v>
      </c>
      <c r="N14" s="85">
        <v>87.311486165538597</v>
      </c>
      <c r="O14" s="85">
        <v>88.616996238173712</v>
      </c>
      <c r="P14" s="85">
        <v>86.782398095556673</v>
      </c>
      <c r="Q14" s="85">
        <v>84.289444173239445</v>
      </c>
      <c r="R14" s="135" t="s">
        <v>212</v>
      </c>
      <c r="S14" s="85">
        <v>86.272157065374742</v>
      </c>
      <c r="T14" s="85">
        <v>81.93376835179663</v>
      </c>
      <c r="U14" s="85">
        <v>83.019958016731337</v>
      </c>
      <c r="V14" s="85">
        <v>80.538769860189348</v>
      </c>
      <c r="W14" s="26">
        <f t="shared" si="0"/>
        <v>84.176719569660875</v>
      </c>
      <c r="X14" s="345">
        <v>64</v>
      </c>
      <c r="Y14" s="135" t="s">
        <v>212</v>
      </c>
      <c r="Z14" s="135" t="s">
        <v>212</v>
      </c>
      <c r="AA14" s="210" t="s">
        <v>212</v>
      </c>
    </row>
    <row r="15" spans="1:29" s="19" customFormat="1">
      <c r="A15" s="19" t="s">
        <v>45</v>
      </c>
      <c r="B15" s="320">
        <v>95</v>
      </c>
      <c r="C15" s="135" t="s">
        <v>212</v>
      </c>
      <c r="D15" s="135" t="s">
        <v>212</v>
      </c>
      <c r="E15" s="26">
        <v>99</v>
      </c>
      <c r="F15" s="207">
        <v>95</v>
      </c>
      <c r="G15" s="85">
        <v>98.847670258708732</v>
      </c>
      <c r="H15" s="85">
        <v>97.65462059595329</v>
      </c>
      <c r="I15" s="85">
        <v>94.733743741734486</v>
      </c>
      <c r="J15" s="85">
        <v>98.344097387714058</v>
      </c>
      <c r="K15" s="85">
        <v>98.896144094512394</v>
      </c>
      <c r="L15" s="85">
        <v>96.601974841317897</v>
      </c>
      <c r="M15" s="85">
        <v>92.048803919420052</v>
      </c>
      <c r="N15" s="85">
        <v>96.619671582919736</v>
      </c>
      <c r="O15" s="85">
        <v>96.545232673091093</v>
      </c>
      <c r="P15" s="85">
        <v>96.48595818407027</v>
      </c>
      <c r="Q15" s="85">
        <v>95.749909040556858</v>
      </c>
      <c r="R15" s="135" t="s">
        <v>212</v>
      </c>
      <c r="S15" s="85">
        <v>98.760440989661731</v>
      </c>
      <c r="T15" s="85">
        <v>92.978255339528175</v>
      </c>
      <c r="U15" s="85">
        <v>96.079421932276318</v>
      </c>
      <c r="V15" s="85">
        <v>92.969152132821023</v>
      </c>
      <c r="W15" s="26">
        <f t="shared" si="0"/>
        <v>96.221006447619075</v>
      </c>
      <c r="X15" s="194" t="s">
        <v>212</v>
      </c>
      <c r="Y15" s="135" t="s">
        <v>212</v>
      </c>
      <c r="Z15" s="135" t="s">
        <v>212</v>
      </c>
      <c r="AA15" s="210" t="s">
        <v>212</v>
      </c>
    </row>
    <row r="16" spans="1:29" s="19" customFormat="1">
      <c r="A16" s="19" t="s">
        <v>42</v>
      </c>
      <c r="B16" s="320">
        <v>82</v>
      </c>
      <c r="C16" s="135" t="s">
        <v>212</v>
      </c>
      <c r="D16" s="135" t="s">
        <v>212</v>
      </c>
      <c r="E16" s="26">
        <v>92</v>
      </c>
      <c r="F16" s="207">
        <v>85</v>
      </c>
      <c r="G16" s="85">
        <v>95.938405488930087</v>
      </c>
      <c r="H16" s="85">
        <v>99.257286386378837</v>
      </c>
      <c r="I16" s="85">
        <v>98.423109033262804</v>
      </c>
      <c r="J16" s="85">
        <v>97.364803861509017</v>
      </c>
      <c r="K16" s="85">
        <v>100</v>
      </c>
      <c r="L16" s="85">
        <v>95.866100641531446</v>
      </c>
      <c r="M16" s="85">
        <v>91.148311288823663</v>
      </c>
      <c r="N16" s="85">
        <v>97.010232480776565</v>
      </c>
      <c r="O16" s="85">
        <v>90.927385986835802</v>
      </c>
      <c r="P16" s="85">
        <v>92.399372155550793</v>
      </c>
      <c r="Q16" s="85">
        <v>94.967010801798764</v>
      </c>
      <c r="R16" s="135" t="s">
        <v>212</v>
      </c>
      <c r="S16" s="85">
        <v>96.502723433502752</v>
      </c>
      <c r="T16" s="85">
        <v>93.079871680831843</v>
      </c>
      <c r="U16" s="85">
        <v>95.071512591223595</v>
      </c>
      <c r="V16" s="85">
        <v>94.213490506310109</v>
      </c>
      <c r="W16" s="26">
        <f t="shared" si="0"/>
        <v>95.477974422484422</v>
      </c>
      <c r="X16" s="194" t="s">
        <v>212</v>
      </c>
      <c r="Y16" s="135" t="s">
        <v>212</v>
      </c>
      <c r="Z16" s="135" t="s">
        <v>212</v>
      </c>
      <c r="AA16" s="210" t="s">
        <v>212</v>
      </c>
    </row>
    <row r="17" spans="1:27" s="19" customFormat="1">
      <c r="A17" s="19" t="s">
        <v>46</v>
      </c>
      <c r="B17" s="320">
        <v>98</v>
      </c>
      <c r="C17" s="135" t="s">
        <v>212</v>
      </c>
      <c r="D17" s="135" t="s">
        <v>212</v>
      </c>
      <c r="E17" s="26">
        <v>100</v>
      </c>
      <c r="F17" s="207">
        <v>99</v>
      </c>
      <c r="G17" s="85">
        <v>97.416786201074203</v>
      </c>
      <c r="H17" s="85">
        <v>96.895600805790153</v>
      </c>
      <c r="I17" s="85">
        <v>94.227047392770714</v>
      </c>
      <c r="J17" s="85">
        <v>98.942441422853506</v>
      </c>
      <c r="K17" s="85">
        <v>95.505548615733616</v>
      </c>
      <c r="L17" s="85">
        <v>94.839272202179245</v>
      </c>
      <c r="M17" s="85">
        <v>91.930555760623818</v>
      </c>
      <c r="N17" s="85">
        <v>97.225650468438104</v>
      </c>
      <c r="O17" s="85">
        <v>94.782155015102362</v>
      </c>
      <c r="P17" s="85">
        <v>97.098601644407992</v>
      </c>
      <c r="Q17" s="85">
        <v>97.086619058125578</v>
      </c>
      <c r="R17" s="135" t="s">
        <v>212</v>
      </c>
      <c r="S17" s="85">
        <v>98.240174106236665</v>
      </c>
      <c r="T17" s="85">
        <v>93.703607003828367</v>
      </c>
      <c r="U17" s="85">
        <v>96.314729104023172</v>
      </c>
      <c r="V17" s="85">
        <v>94.281783925391451</v>
      </c>
      <c r="W17" s="26">
        <f t="shared" si="0"/>
        <v>95.899371515105273</v>
      </c>
      <c r="X17" s="194" t="s">
        <v>212</v>
      </c>
      <c r="Y17" s="135" t="s">
        <v>212</v>
      </c>
      <c r="Z17" s="135" t="s">
        <v>212</v>
      </c>
      <c r="AA17" s="210" t="s">
        <v>212</v>
      </c>
    </row>
    <row r="18" spans="1:27" s="19" customFormat="1">
      <c r="A18" s="49" t="s">
        <v>180</v>
      </c>
      <c r="B18" s="320">
        <v>90</v>
      </c>
      <c r="C18" s="135" t="s">
        <v>212</v>
      </c>
      <c r="D18" s="135" t="s">
        <v>212</v>
      </c>
      <c r="E18" s="26">
        <v>89</v>
      </c>
      <c r="F18" s="207">
        <v>90</v>
      </c>
      <c r="G18" s="85">
        <v>87.833844134009851</v>
      </c>
      <c r="H18" s="85">
        <v>96.161458958137757</v>
      </c>
      <c r="I18" s="85">
        <v>91.409789450071173</v>
      </c>
      <c r="J18" s="85">
        <v>84.989709784841935</v>
      </c>
      <c r="K18" s="85">
        <v>93.169629389450833</v>
      </c>
      <c r="L18" s="85">
        <v>82.209336109290589</v>
      </c>
      <c r="M18" s="85">
        <v>73.825768000914721</v>
      </c>
      <c r="N18" s="85">
        <v>85.741052776995517</v>
      </c>
      <c r="O18" s="85">
        <v>94.191085452631413</v>
      </c>
      <c r="P18" s="85">
        <v>69.180014517423217</v>
      </c>
      <c r="Q18" s="85">
        <v>85.700658460039833</v>
      </c>
      <c r="R18" s="135" t="s">
        <v>212</v>
      </c>
      <c r="S18" s="85">
        <v>93.439504372678869</v>
      </c>
      <c r="T18" s="85">
        <v>85.364095053188279</v>
      </c>
      <c r="U18" s="85">
        <v>83.159216101012262</v>
      </c>
      <c r="V18" s="85">
        <v>79.240197594923302</v>
      </c>
      <c r="W18" s="26">
        <f t="shared" si="0"/>
        <v>85.707690677040645</v>
      </c>
      <c r="X18" s="194" t="s">
        <v>212</v>
      </c>
      <c r="Y18" s="135" t="s">
        <v>212</v>
      </c>
      <c r="Z18" s="135" t="s">
        <v>212</v>
      </c>
      <c r="AA18" s="210" t="s">
        <v>212</v>
      </c>
    </row>
    <row r="19" spans="1:27" s="19" customFormat="1">
      <c r="A19" s="49" t="s">
        <v>181</v>
      </c>
      <c r="B19" s="320">
        <v>80</v>
      </c>
      <c r="C19" s="135" t="s">
        <v>212</v>
      </c>
      <c r="D19" s="135" t="s">
        <v>212</v>
      </c>
      <c r="E19" s="26">
        <v>92</v>
      </c>
      <c r="F19" s="207">
        <v>82</v>
      </c>
      <c r="G19" s="85">
        <v>85.982612592835792</v>
      </c>
      <c r="H19" s="85">
        <v>93.110876394369612</v>
      </c>
      <c r="I19" s="85">
        <v>89.564714182395605</v>
      </c>
      <c r="J19" s="85">
        <v>94.589369917016782</v>
      </c>
      <c r="K19" s="85">
        <v>89.108657867299556</v>
      </c>
      <c r="L19" s="85">
        <v>88.993372048878186</v>
      </c>
      <c r="M19" s="85">
        <v>79.873578496146862</v>
      </c>
      <c r="N19" s="85">
        <v>90.908870850464197</v>
      </c>
      <c r="O19" s="85">
        <v>84.918894474195369</v>
      </c>
      <c r="P19" s="85">
        <v>82.974568858595617</v>
      </c>
      <c r="Q19" s="85">
        <v>91.026546253038575</v>
      </c>
      <c r="R19" s="135" t="s">
        <v>212</v>
      </c>
      <c r="S19" s="85">
        <v>99.058237640033823</v>
      </c>
      <c r="T19" s="85">
        <v>86.805876558344252</v>
      </c>
      <c r="U19" s="85">
        <v>88.805532147003746</v>
      </c>
      <c r="V19" s="85">
        <v>88.66731843478351</v>
      </c>
      <c r="W19" s="26">
        <f t="shared" si="0"/>
        <v>88.959268447693404</v>
      </c>
      <c r="X19" s="194" t="s">
        <v>212</v>
      </c>
      <c r="Y19" s="135" t="s">
        <v>212</v>
      </c>
      <c r="Z19" s="135" t="s">
        <v>212</v>
      </c>
      <c r="AA19" s="210" t="s">
        <v>212</v>
      </c>
    </row>
    <row r="20" spans="1:27" s="19" customFormat="1">
      <c r="A20" s="19" t="s">
        <v>49</v>
      </c>
      <c r="B20" s="320">
        <v>71</v>
      </c>
      <c r="C20" s="135" t="s">
        <v>212</v>
      </c>
      <c r="D20" s="135" t="s">
        <v>212</v>
      </c>
      <c r="E20" s="26">
        <v>89</v>
      </c>
      <c r="F20" s="207">
        <v>77</v>
      </c>
      <c r="G20" s="85">
        <v>96.29383093967526</v>
      </c>
      <c r="H20" s="85">
        <v>98.407373187784216</v>
      </c>
      <c r="I20" s="85">
        <v>100</v>
      </c>
      <c r="J20" s="85">
        <v>96.60528902424717</v>
      </c>
      <c r="K20" s="85">
        <v>100</v>
      </c>
      <c r="L20" s="85">
        <v>100</v>
      </c>
      <c r="M20" s="85">
        <v>98.531684670693849</v>
      </c>
      <c r="N20" s="85">
        <v>97.710151313902699</v>
      </c>
      <c r="O20" s="85">
        <v>93.303905779961937</v>
      </c>
      <c r="P20" s="85">
        <v>89.806353257703506</v>
      </c>
      <c r="Q20" s="85">
        <v>94.714246850401253</v>
      </c>
      <c r="R20" s="135" t="s">
        <v>212</v>
      </c>
      <c r="S20" s="85">
        <v>95.767328207234229</v>
      </c>
      <c r="T20" s="85">
        <v>95.538715068365264</v>
      </c>
      <c r="U20" s="85">
        <v>94.832885775679699</v>
      </c>
      <c r="V20" s="85">
        <v>99.318263792325013</v>
      </c>
      <c r="W20" s="26">
        <f t="shared" si="0"/>
        <v>96.722001857864925</v>
      </c>
      <c r="X20" s="194" t="s">
        <v>212</v>
      </c>
      <c r="Y20" s="135" t="s">
        <v>212</v>
      </c>
      <c r="Z20" s="135" t="s">
        <v>212</v>
      </c>
      <c r="AA20" s="210" t="s">
        <v>212</v>
      </c>
    </row>
    <row r="21" spans="1:27" s="19" customFormat="1">
      <c r="A21" s="19" t="s">
        <v>50</v>
      </c>
      <c r="B21" s="320">
        <v>51</v>
      </c>
      <c r="C21" s="135" t="s">
        <v>212</v>
      </c>
      <c r="D21" s="135" t="s">
        <v>212</v>
      </c>
      <c r="E21" s="26">
        <v>75</v>
      </c>
      <c r="F21" s="207">
        <v>49</v>
      </c>
      <c r="G21" s="85">
        <v>88.142397184634717</v>
      </c>
      <c r="H21" s="85">
        <v>94.298895809294137</v>
      </c>
      <c r="I21" s="85">
        <v>97.03835551660859</v>
      </c>
      <c r="J21" s="85">
        <v>95.279534359953473</v>
      </c>
      <c r="K21" s="85">
        <v>94.601069522526132</v>
      </c>
      <c r="L21" s="85">
        <v>93.529956170245782</v>
      </c>
      <c r="M21" s="85">
        <v>83.549158261742662</v>
      </c>
      <c r="N21" s="85">
        <v>88.846249194307006</v>
      </c>
      <c r="O21" s="85">
        <v>84.538044779065672</v>
      </c>
      <c r="P21" s="85">
        <v>82.251965559485214</v>
      </c>
      <c r="Q21" s="85">
        <v>89.67434719249168</v>
      </c>
      <c r="R21" s="135" t="s">
        <v>212</v>
      </c>
      <c r="S21" s="85">
        <v>91.732276021771028</v>
      </c>
      <c r="T21" s="85">
        <v>89.718081875887336</v>
      </c>
      <c r="U21" s="85">
        <v>89.701405763403656</v>
      </c>
      <c r="V21" s="85">
        <v>86.790766779622643</v>
      </c>
      <c r="W21" s="26">
        <f t="shared" si="0"/>
        <v>89.979500266069323</v>
      </c>
      <c r="X21" s="194" t="s">
        <v>212</v>
      </c>
      <c r="Y21" s="135" t="s">
        <v>212</v>
      </c>
      <c r="Z21" s="135" t="s">
        <v>212</v>
      </c>
      <c r="AA21" s="210" t="s">
        <v>212</v>
      </c>
    </row>
    <row r="22" spans="1:27" s="19" customFormat="1">
      <c r="A22" s="19" t="s">
        <v>43</v>
      </c>
      <c r="B22" s="320">
        <v>47</v>
      </c>
      <c r="C22" s="135" t="s">
        <v>212</v>
      </c>
      <c r="D22" s="135" t="s">
        <v>212</v>
      </c>
      <c r="E22" s="26">
        <v>75</v>
      </c>
      <c r="F22" s="207">
        <v>55</v>
      </c>
      <c r="G22" s="85">
        <v>91.100691809384088</v>
      </c>
      <c r="H22" s="85">
        <v>92.276421303103163</v>
      </c>
      <c r="I22" s="85">
        <v>95.86151247730497</v>
      </c>
      <c r="J22" s="85">
        <v>95.492911528379196</v>
      </c>
      <c r="K22" s="85">
        <v>93.467237734483845</v>
      </c>
      <c r="L22" s="85">
        <v>96.268904589039337</v>
      </c>
      <c r="M22" s="85">
        <v>85.321485526208676</v>
      </c>
      <c r="N22" s="85">
        <v>92.126685898797135</v>
      </c>
      <c r="O22" s="85">
        <v>88.067428801114147</v>
      </c>
      <c r="P22" s="85">
        <v>87.458686409210273</v>
      </c>
      <c r="Q22" s="85">
        <v>90.383311510284685</v>
      </c>
      <c r="R22" s="135" t="s">
        <v>212</v>
      </c>
      <c r="S22" s="85">
        <v>93.350158326881399</v>
      </c>
      <c r="T22" s="85">
        <v>89.689538979242215</v>
      </c>
      <c r="U22" s="85">
        <v>89.500680727497013</v>
      </c>
      <c r="V22" s="85">
        <v>87.122682429661666</v>
      </c>
      <c r="W22" s="26">
        <f t="shared" si="0"/>
        <v>91.165889203372771</v>
      </c>
      <c r="X22" s="194" t="s">
        <v>212</v>
      </c>
      <c r="Y22" s="135" t="s">
        <v>212</v>
      </c>
      <c r="Z22" s="135" t="s">
        <v>212</v>
      </c>
      <c r="AA22" s="210" t="s">
        <v>212</v>
      </c>
    </row>
    <row r="23" spans="1:27" s="19" customFormat="1">
      <c r="A23" s="19" t="s">
        <v>51</v>
      </c>
      <c r="B23" s="320">
        <v>41</v>
      </c>
      <c r="C23" s="135" t="s">
        <v>212</v>
      </c>
      <c r="D23" s="135" t="s">
        <v>212</v>
      </c>
      <c r="E23" s="26">
        <v>70</v>
      </c>
      <c r="F23" s="207">
        <v>34</v>
      </c>
      <c r="G23" s="85">
        <v>84.979004420454388</v>
      </c>
      <c r="H23" s="85">
        <v>93.230098563342665</v>
      </c>
      <c r="I23" s="85">
        <v>96.016503010322296</v>
      </c>
      <c r="J23" s="85">
        <v>92.565548711234442</v>
      </c>
      <c r="K23" s="85">
        <v>100</v>
      </c>
      <c r="L23" s="85">
        <v>85.149553376030298</v>
      </c>
      <c r="M23" s="85">
        <v>79.602946938506491</v>
      </c>
      <c r="N23" s="85">
        <v>92.246375089683042</v>
      </c>
      <c r="O23" s="85">
        <v>81.477064574149978</v>
      </c>
      <c r="P23" s="85">
        <v>76.651845545273019</v>
      </c>
      <c r="Q23" s="85">
        <v>86.924243140991337</v>
      </c>
      <c r="R23" s="135" t="s">
        <v>212</v>
      </c>
      <c r="S23" s="85">
        <v>88.563618579224979</v>
      </c>
      <c r="T23" s="85">
        <v>83.912478772448097</v>
      </c>
      <c r="U23" s="85">
        <v>92.196013951447938</v>
      </c>
      <c r="V23" s="85">
        <v>84.183621082370991</v>
      </c>
      <c r="W23" s="26">
        <f t="shared" si="0"/>
        <v>87.846594383698658</v>
      </c>
      <c r="X23" s="194" t="s">
        <v>212</v>
      </c>
      <c r="Y23" s="135" t="s">
        <v>212</v>
      </c>
      <c r="Z23" s="135" t="s">
        <v>212</v>
      </c>
      <c r="AA23" s="210" t="s">
        <v>212</v>
      </c>
    </row>
    <row r="24" spans="1:27" s="19" customFormat="1">
      <c r="A24" s="19" t="s">
        <v>44</v>
      </c>
      <c r="B24" s="320">
        <v>54</v>
      </c>
      <c r="C24" s="135" t="s">
        <v>212</v>
      </c>
      <c r="D24" s="135" t="s">
        <v>212</v>
      </c>
      <c r="E24" s="26">
        <v>64</v>
      </c>
      <c r="F24" s="207">
        <v>60</v>
      </c>
      <c r="G24" s="85">
        <v>73.448121231936113</v>
      </c>
      <c r="H24" s="85">
        <v>85.622507982614522</v>
      </c>
      <c r="I24" s="85">
        <v>68.517796229946285</v>
      </c>
      <c r="J24" s="85">
        <v>76.735229074029462</v>
      </c>
      <c r="K24" s="85">
        <v>68.484799617015128</v>
      </c>
      <c r="L24" s="85">
        <v>60.463279866209177</v>
      </c>
      <c r="M24" s="85">
        <v>57.47719255524629</v>
      </c>
      <c r="N24" s="85">
        <v>77.721607616158693</v>
      </c>
      <c r="O24" s="85">
        <v>68.546203744999062</v>
      </c>
      <c r="P24" s="85">
        <v>60.789913160035148</v>
      </c>
      <c r="Q24" s="85">
        <v>71.705843401657262</v>
      </c>
      <c r="R24" s="135" t="s">
        <v>212</v>
      </c>
      <c r="S24" s="85">
        <v>87.203897986099378</v>
      </c>
      <c r="T24" s="85">
        <v>74.450813440618106</v>
      </c>
      <c r="U24" s="85">
        <v>74.178624887275078</v>
      </c>
      <c r="V24" s="85">
        <v>71.281887277309721</v>
      </c>
      <c r="W24" s="26">
        <f t="shared" si="0"/>
        <v>71.775181204743291</v>
      </c>
      <c r="X24" s="194" t="s">
        <v>212</v>
      </c>
      <c r="Y24" s="135" t="s">
        <v>212</v>
      </c>
      <c r="Z24" s="135" t="s">
        <v>212</v>
      </c>
      <c r="AA24" s="210" t="s">
        <v>212</v>
      </c>
    </row>
    <row r="25" spans="1:27" s="19" customFormat="1">
      <c r="A25" s="19" t="s">
        <v>52</v>
      </c>
      <c r="B25" s="320">
        <v>37</v>
      </c>
      <c r="C25" s="135" t="s">
        <v>212</v>
      </c>
      <c r="D25" s="135" t="s">
        <v>212</v>
      </c>
      <c r="E25" s="26">
        <v>68</v>
      </c>
      <c r="F25" s="207">
        <v>36</v>
      </c>
      <c r="G25" s="85">
        <v>91.459834839720656</v>
      </c>
      <c r="H25" s="85">
        <v>94.499975886646837</v>
      </c>
      <c r="I25" s="85">
        <v>100</v>
      </c>
      <c r="J25" s="85">
        <v>95.044878865740657</v>
      </c>
      <c r="K25" s="85">
        <v>100</v>
      </c>
      <c r="L25" s="85">
        <v>83.754160790360032</v>
      </c>
      <c r="M25" s="85">
        <v>79.289238660573119</v>
      </c>
      <c r="N25" s="85">
        <v>95.726761222112302</v>
      </c>
      <c r="O25" s="85">
        <v>85.34270395992867</v>
      </c>
      <c r="P25" s="85">
        <v>59.05655855016348</v>
      </c>
      <c r="Q25" s="85">
        <v>86.991471866962385</v>
      </c>
      <c r="R25" s="135" t="s">
        <v>212</v>
      </c>
      <c r="S25" s="85">
        <v>88.664165023057635</v>
      </c>
      <c r="T25" s="85">
        <v>86.145966196651571</v>
      </c>
      <c r="U25" s="85">
        <v>88.481402436156273</v>
      </c>
      <c r="V25" s="85">
        <v>87.134307176905381</v>
      </c>
      <c r="W25" s="26">
        <f t="shared" si="0"/>
        <v>88.106095031665262</v>
      </c>
      <c r="X25" s="194" t="s">
        <v>212</v>
      </c>
      <c r="Y25" s="135" t="s">
        <v>212</v>
      </c>
      <c r="Z25" s="135" t="s">
        <v>212</v>
      </c>
      <c r="AA25" s="210" t="s">
        <v>212</v>
      </c>
    </row>
    <row r="26" spans="1:27" s="19" customFormat="1">
      <c r="A26" s="19" t="s">
        <v>53</v>
      </c>
      <c r="B26" s="320">
        <v>36</v>
      </c>
      <c r="C26" s="135" t="s">
        <v>212</v>
      </c>
      <c r="D26" s="135" t="s">
        <v>212</v>
      </c>
      <c r="E26" s="26">
        <v>69</v>
      </c>
      <c r="F26" s="207">
        <v>37</v>
      </c>
      <c r="G26" s="85">
        <v>93.711274426373038</v>
      </c>
      <c r="H26" s="85">
        <v>96.261760672323661</v>
      </c>
      <c r="I26" s="85">
        <v>100</v>
      </c>
      <c r="J26" s="85">
        <v>93.872577997800704</v>
      </c>
      <c r="K26" s="85">
        <v>100</v>
      </c>
      <c r="L26" s="85">
        <v>93.092536497067115</v>
      </c>
      <c r="M26" s="85">
        <v>88.689153227750197</v>
      </c>
      <c r="N26" s="85">
        <v>98.653777739596578</v>
      </c>
      <c r="O26" s="85">
        <v>81.433143211983221</v>
      </c>
      <c r="P26" s="85">
        <v>68.151923642995285</v>
      </c>
      <c r="Q26" s="85">
        <v>90.65243899323923</v>
      </c>
      <c r="R26" s="135" t="s">
        <v>212</v>
      </c>
      <c r="S26" s="85">
        <v>91.863341093013744</v>
      </c>
      <c r="T26" s="85">
        <v>92.235868581569591</v>
      </c>
      <c r="U26" s="85">
        <v>95.972561906727677</v>
      </c>
      <c r="V26" s="85">
        <v>94.486776474031331</v>
      </c>
      <c r="W26" s="26">
        <f t="shared" si="0"/>
        <v>91.938475630964746</v>
      </c>
      <c r="X26" s="194" t="s">
        <v>212</v>
      </c>
      <c r="Y26" s="135" t="s">
        <v>212</v>
      </c>
      <c r="Z26" s="135" t="s">
        <v>212</v>
      </c>
      <c r="AA26" s="210" t="s">
        <v>212</v>
      </c>
    </row>
    <row r="27" spans="1:27" s="19" customFormat="1">
      <c r="A27" s="81" t="s">
        <v>182</v>
      </c>
      <c r="B27" s="320">
        <v>37</v>
      </c>
      <c r="C27" s="135" t="s">
        <v>212</v>
      </c>
      <c r="D27" s="135" t="s">
        <v>212</v>
      </c>
      <c r="E27" s="26">
        <v>57</v>
      </c>
      <c r="F27" s="207">
        <v>46</v>
      </c>
      <c r="G27" s="85">
        <v>66.399586869744667</v>
      </c>
      <c r="H27" s="85">
        <v>91.415852309206386</v>
      </c>
      <c r="I27" s="85">
        <v>53.82998260851172</v>
      </c>
      <c r="J27" s="85">
        <v>87.730528834523668</v>
      </c>
      <c r="K27" s="85">
        <v>58.052865894543423</v>
      </c>
      <c r="L27" s="85">
        <v>67.239338594065075</v>
      </c>
      <c r="M27" s="85">
        <v>61.036743314102267</v>
      </c>
      <c r="N27" s="85">
        <v>79.26969104857973</v>
      </c>
      <c r="O27" s="85">
        <v>75.028290110161507</v>
      </c>
      <c r="P27" s="85">
        <v>63.578629230441408</v>
      </c>
      <c r="Q27" s="85">
        <v>82.091377063537763</v>
      </c>
      <c r="R27" s="135" t="s">
        <v>212</v>
      </c>
      <c r="S27" s="85">
        <v>81.363812933738302</v>
      </c>
      <c r="T27" s="85">
        <v>62.28460069247523</v>
      </c>
      <c r="U27" s="85">
        <v>76.115286834755878</v>
      </c>
      <c r="V27" s="85">
        <v>71.590879426075162</v>
      </c>
      <c r="W27" s="26">
        <f t="shared" si="0"/>
        <v>71.801831050964154</v>
      </c>
      <c r="X27" s="194" t="s">
        <v>212</v>
      </c>
      <c r="Y27" s="135" t="s">
        <v>212</v>
      </c>
      <c r="Z27" s="135" t="s">
        <v>212</v>
      </c>
      <c r="AA27" s="210" t="s">
        <v>212</v>
      </c>
    </row>
    <row r="28" spans="1:27" s="19" customFormat="1">
      <c r="A28" s="19" t="s">
        <v>54</v>
      </c>
      <c r="B28" s="320">
        <v>37</v>
      </c>
      <c r="C28" s="135" t="s">
        <v>212</v>
      </c>
      <c r="D28" s="135" t="s">
        <v>212</v>
      </c>
      <c r="E28" s="26">
        <v>85</v>
      </c>
      <c r="F28" s="207">
        <v>32</v>
      </c>
      <c r="G28" s="85">
        <v>63.5502066016467</v>
      </c>
      <c r="H28" s="85">
        <v>85.505592497179506</v>
      </c>
      <c r="I28" s="85">
        <v>91.142387133427917</v>
      </c>
      <c r="J28" s="85">
        <v>93.861054302066478</v>
      </c>
      <c r="K28" s="85">
        <v>83.168202190572487</v>
      </c>
      <c r="L28" s="85">
        <v>42.5894977934121</v>
      </c>
      <c r="M28" s="85">
        <v>77.436432292988343</v>
      </c>
      <c r="N28" s="85">
        <v>92.181490203578434</v>
      </c>
      <c r="O28" s="85">
        <v>74.163412044562236</v>
      </c>
      <c r="P28" s="85">
        <v>64.234321708851326</v>
      </c>
      <c r="Q28" s="85">
        <v>89.233387372088373</v>
      </c>
      <c r="R28" s="135" t="s">
        <v>212</v>
      </c>
      <c r="S28" s="85">
        <v>100</v>
      </c>
      <c r="T28" s="85">
        <v>76.024771759898712</v>
      </c>
      <c r="U28" s="85">
        <v>87.986844607890021</v>
      </c>
      <c r="V28" s="85">
        <v>88.891479655532251</v>
      </c>
      <c r="W28" s="26">
        <f t="shared" si="0"/>
        <v>80.664605344246326</v>
      </c>
      <c r="X28" s="194" t="s">
        <v>212</v>
      </c>
      <c r="Y28" s="135" t="s">
        <v>212</v>
      </c>
      <c r="Z28" s="135" t="s">
        <v>212</v>
      </c>
      <c r="AA28" s="210" t="s">
        <v>212</v>
      </c>
    </row>
    <row r="29" spans="1:27" s="19" customFormat="1">
      <c r="A29" s="81" t="s">
        <v>183</v>
      </c>
      <c r="B29" s="320">
        <v>54</v>
      </c>
      <c r="C29" s="135" t="s">
        <v>212</v>
      </c>
      <c r="D29" s="135" t="s">
        <v>212</v>
      </c>
      <c r="E29" s="26">
        <v>82</v>
      </c>
      <c r="F29" s="207">
        <v>56</v>
      </c>
      <c r="G29" s="85">
        <v>49.821657110729632</v>
      </c>
      <c r="H29" s="85">
        <v>88.527892668571113</v>
      </c>
      <c r="I29" s="85">
        <v>68.685046788752814</v>
      </c>
      <c r="J29" s="85">
        <v>96.491350569747283</v>
      </c>
      <c r="K29" s="85">
        <v>82.846906654674328</v>
      </c>
      <c r="L29" s="85">
        <v>7.5583087379109415</v>
      </c>
      <c r="M29" s="85">
        <v>67.225080617019003</v>
      </c>
      <c r="N29" s="85">
        <v>90.95922560433003</v>
      </c>
      <c r="O29" s="85">
        <v>57.612552462205933</v>
      </c>
      <c r="P29" s="85">
        <v>25.332488970756373</v>
      </c>
      <c r="Q29" s="85">
        <v>85.816599884891403</v>
      </c>
      <c r="R29" s="135" t="s">
        <v>212</v>
      </c>
      <c r="S29" s="85">
        <v>94.943901483904298</v>
      </c>
      <c r="T29" s="85">
        <v>68.367872030973814</v>
      </c>
      <c r="U29" s="85">
        <v>78.477630213894358</v>
      </c>
      <c r="V29" s="85">
        <v>84.995286963002272</v>
      </c>
      <c r="W29" s="26">
        <f t="shared" si="0"/>
        <v>69.844120050757553</v>
      </c>
      <c r="X29" s="194" t="s">
        <v>212</v>
      </c>
      <c r="Y29" s="135" t="s">
        <v>212</v>
      </c>
      <c r="Z29" s="135" t="s">
        <v>212</v>
      </c>
      <c r="AA29" s="210" t="s">
        <v>212</v>
      </c>
    </row>
    <row r="30" spans="1:27" s="19" customFormat="1">
      <c r="A30" s="19" t="s">
        <v>55</v>
      </c>
      <c r="B30" s="320">
        <v>39</v>
      </c>
      <c r="C30" s="135" t="s">
        <v>212</v>
      </c>
      <c r="D30" s="135" t="s">
        <v>212</v>
      </c>
      <c r="E30" s="26">
        <v>66</v>
      </c>
      <c r="F30" s="207">
        <v>41</v>
      </c>
      <c r="G30" s="85">
        <v>96.94558313285917</v>
      </c>
      <c r="H30" s="85">
        <v>100</v>
      </c>
      <c r="I30" s="85">
        <v>100</v>
      </c>
      <c r="J30" s="85">
        <v>100</v>
      </c>
      <c r="K30" s="85">
        <v>100</v>
      </c>
      <c r="L30" s="85">
        <v>100</v>
      </c>
      <c r="M30" s="85">
        <v>100</v>
      </c>
      <c r="N30" s="85">
        <v>100</v>
      </c>
      <c r="O30" s="85">
        <v>47.242570546808054</v>
      </c>
      <c r="P30" s="85">
        <v>77.016381675487764</v>
      </c>
      <c r="Q30" s="85">
        <v>95.632548041715879</v>
      </c>
      <c r="R30" s="135" t="s">
        <v>212</v>
      </c>
      <c r="S30" s="85">
        <v>100</v>
      </c>
      <c r="T30" s="85">
        <v>100</v>
      </c>
      <c r="U30" s="85">
        <v>100</v>
      </c>
      <c r="V30" s="85">
        <v>100</v>
      </c>
      <c r="W30" s="26">
        <v>100</v>
      </c>
      <c r="X30" s="194" t="s">
        <v>212</v>
      </c>
      <c r="Y30" s="135" t="s">
        <v>212</v>
      </c>
      <c r="Z30" s="135" t="s">
        <v>212</v>
      </c>
      <c r="AA30" s="210" t="s">
        <v>212</v>
      </c>
    </row>
    <row r="31" spans="1:27" s="19" customFormat="1">
      <c r="B31" s="320"/>
      <c r="C31" s="135"/>
      <c r="D31" s="29"/>
      <c r="E31" s="26"/>
      <c r="F31" s="207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9"/>
      <c r="S31" s="38"/>
      <c r="T31" s="38"/>
      <c r="U31" s="38"/>
      <c r="V31" s="38"/>
      <c r="W31" s="29"/>
      <c r="X31" s="343"/>
      <c r="Y31" s="30"/>
      <c r="Z31" s="30"/>
      <c r="AA31" s="344"/>
    </row>
    <row r="32" spans="1:27" s="337" customFormat="1">
      <c r="A32" s="335" t="s">
        <v>242</v>
      </c>
      <c r="B32" s="61" t="s">
        <v>212</v>
      </c>
      <c r="C32" s="61" t="s">
        <v>212</v>
      </c>
      <c r="D32" s="59" t="s">
        <v>212</v>
      </c>
      <c r="E32" s="59">
        <v>85</v>
      </c>
      <c r="F32" s="59">
        <v>84</v>
      </c>
      <c r="G32" s="345">
        <v>90</v>
      </c>
      <c r="H32" s="61">
        <v>94</v>
      </c>
      <c r="I32" s="61">
        <v>84</v>
      </c>
      <c r="J32" s="61">
        <v>93</v>
      </c>
      <c r="K32" s="61">
        <v>85</v>
      </c>
      <c r="L32" s="61">
        <v>92</v>
      </c>
      <c r="M32" s="61">
        <v>87</v>
      </c>
      <c r="N32" s="61">
        <v>92</v>
      </c>
      <c r="O32" s="61">
        <v>94</v>
      </c>
      <c r="P32" s="61">
        <v>94</v>
      </c>
      <c r="Q32" s="61">
        <v>92</v>
      </c>
      <c r="R32" s="59" t="s">
        <v>212</v>
      </c>
      <c r="S32" s="61">
        <v>92</v>
      </c>
      <c r="T32" s="61">
        <v>90</v>
      </c>
      <c r="U32" s="61">
        <v>91</v>
      </c>
      <c r="V32" s="61">
        <v>86</v>
      </c>
      <c r="W32" s="59" t="s">
        <v>212</v>
      </c>
      <c r="X32" s="345" t="s">
        <v>212</v>
      </c>
      <c r="Y32" s="61" t="s">
        <v>212</v>
      </c>
      <c r="Z32" s="61" t="s">
        <v>212</v>
      </c>
      <c r="AA32" s="346" t="s">
        <v>212</v>
      </c>
    </row>
    <row r="33" spans="1:54" s="334" customFormat="1">
      <c r="A33" s="342"/>
      <c r="B33" s="338"/>
      <c r="C33" s="339"/>
      <c r="D33" s="340"/>
      <c r="E33" s="340"/>
      <c r="F33" s="340"/>
      <c r="G33" s="341"/>
      <c r="H33" s="341"/>
      <c r="I33" s="341"/>
      <c r="J33" s="341"/>
      <c r="K33" s="341"/>
      <c r="L33" s="341"/>
      <c r="M33" s="341"/>
      <c r="N33" s="341"/>
      <c r="O33" s="341"/>
      <c r="P33" s="341"/>
      <c r="Q33" s="341"/>
      <c r="R33" s="340"/>
      <c r="S33" s="341"/>
      <c r="T33" s="341"/>
      <c r="U33" s="341"/>
      <c r="V33" s="341"/>
      <c r="W33" s="340"/>
      <c r="X33" s="341"/>
      <c r="Y33" s="341"/>
      <c r="Z33" s="341"/>
      <c r="AA33" s="341"/>
    </row>
    <row r="34" spans="1:54" s="19" customFormat="1" ht="18.75">
      <c r="A34" s="31"/>
      <c r="B34" s="225"/>
      <c r="C34" s="114" t="s">
        <v>173</v>
      </c>
      <c r="D34" s="99"/>
      <c r="E34" s="99"/>
      <c r="F34" s="212"/>
      <c r="G34" s="108"/>
      <c r="H34" s="108"/>
      <c r="I34" s="108"/>
      <c r="J34" s="108"/>
      <c r="K34" s="108"/>
      <c r="L34" s="113" t="s">
        <v>172</v>
      </c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217"/>
      <c r="Y34" s="112" t="s">
        <v>175</v>
      </c>
      <c r="Z34" s="130"/>
      <c r="AA34" s="218"/>
      <c r="AB34" s="115" t="s">
        <v>177</v>
      </c>
      <c r="AC34" s="116"/>
      <c r="AD34" s="229"/>
    </row>
    <row r="35" spans="1:54">
      <c r="A35" s="9"/>
      <c r="B35" s="211" t="s">
        <v>100</v>
      </c>
      <c r="C35" s="104" t="s">
        <v>176</v>
      </c>
      <c r="D35" s="99"/>
      <c r="E35" s="104" t="s">
        <v>101</v>
      </c>
      <c r="F35" s="212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217"/>
      <c r="Y35" s="110"/>
      <c r="Z35" s="130"/>
      <c r="AA35" s="218"/>
      <c r="AB35" s="116"/>
      <c r="AC35" s="116"/>
      <c r="AD35" s="229"/>
      <c r="AE35" s="390"/>
    </row>
    <row r="36" spans="1:54" s="72" customFormat="1" ht="16.5" thickBot="1">
      <c r="A36" s="71" t="s">
        <v>78</v>
      </c>
      <c r="B36" s="213" t="s">
        <v>99</v>
      </c>
      <c r="C36" s="100" t="s">
        <v>99</v>
      </c>
      <c r="D36" s="100" t="s">
        <v>1</v>
      </c>
      <c r="E36" s="101" t="s">
        <v>2</v>
      </c>
      <c r="F36" s="214" t="s">
        <v>3</v>
      </c>
      <c r="G36" s="103" t="s">
        <v>18</v>
      </c>
      <c r="H36" s="103" t="s">
        <v>19</v>
      </c>
      <c r="I36" s="103" t="s">
        <v>20</v>
      </c>
      <c r="J36" s="103" t="s">
        <v>21</v>
      </c>
      <c r="K36" s="103" t="s">
        <v>22</v>
      </c>
      <c r="L36" s="103" t="s">
        <v>23</v>
      </c>
      <c r="M36" s="103" t="s">
        <v>24</v>
      </c>
      <c r="N36" s="103" t="s">
        <v>25</v>
      </c>
      <c r="O36" s="103" t="s">
        <v>26</v>
      </c>
      <c r="P36" s="103" t="s">
        <v>27</v>
      </c>
      <c r="Q36" s="103" t="s">
        <v>28</v>
      </c>
      <c r="R36" s="103" t="s">
        <v>29</v>
      </c>
      <c r="S36" s="103" t="s">
        <v>30</v>
      </c>
      <c r="T36" s="103" t="s">
        <v>31</v>
      </c>
      <c r="U36" s="103" t="s">
        <v>32</v>
      </c>
      <c r="V36" s="103" t="s">
        <v>33</v>
      </c>
      <c r="W36" s="102" t="s">
        <v>17</v>
      </c>
      <c r="X36" s="223" t="s">
        <v>12</v>
      </c>
      <c r="Y36" s="111" t="s">
        <v>13</v>
      </c>
      <c r="Z36" s="111" t="s">
        <v>15</v>
      </c>
      <c r="AA36" s="224" t="s">
        <v>16</v>
      </c>
      <c r="AB36" s="347" t="s">
        <v>95</v>
      </c>
      <c r="AC36" s="347" t="s">
        <v>96</v>
      </c>
      <c r="AD36" s="348" t="s">
        <v>97</v>
      </c>
      <c r="AE36" s="390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</row>
    <row r="37" spans="1:54">
      <c r="A37" s="44" t="s">
        <v>56</v>
      </c>
      <c r="B37" s="191">
        <v>3.8825233057439039</v>
      </c>
      <c r="C37" s="85">
        <v>8.7732954728358106</v>
      </c>
      <c r="D37" s="226" t="s">
        <v>212</v>
      </c>
      <c r="E37" s="85">
        <v>69.054636124714463</v>
      </c>
      <c r="F37" s="227">
        <v>7.9867093676905894</v>
      </c>
      <c r="G37" s="85">
        <v>100</v>
      </c>
      <c r="H37" s="85">
        <v>99.389550293878486</v>
      </c>
      <c r="I37" s="85">
        <v>88.273992035044344</v>
      </c>
      <c r="J37" s="85">
        <v>100</v>
      </c>
      <c r="K37" s="85">
        <v>81.628409368387338</v>
      </c>
      <c r="L37" s="85">
        <v>94.513344717705081</v>
      </c>
      <c r="M37" s="85">
        <v>100</v>
      </c>
      <c r="N37" s="85">
        <v>100</v>
      </c>
      <c r="O37" s="85">
        <v>100</v>
      </c>
      <c r="P37" s="85">
        <v>100</v>
      </c>
      <c r="Q37" s="85">
        <v>94.015237792634636</v>
      </c>
      <c r="R37" s="85">
        <v>100</v>
      </c>
      <c r="S37" s="85">
        <v>100</v>
      </c>
      <c r="T37" s="85">
        <v>86.495095827836636</v>
      </c>
      <c r="U37" s="85">
        <v>0</v>
      </c>
      <c r="V37" s="85">
        <v>99.738577073290131</v>
      </c>
      <c r="W37" s="26">
        <v>100</v>
      </c>
      <c r="X37" s="255">
        <v>25.299499650553471</v>
      </c>
      <c r="Y37" s="226" t="s">
        <v>212</v>
      </c>
      <c r="Z37" s="226" t="s">
        <v>212</v>
      </c>
      <c r="AA37" s="209" t="s">
        <v>212</v>
      </c>
      <c r="AB37" s="26">
        <v>41</v>
      </c>
      <c r="AC37" s="26">
        <v>8</v>
      </c>
      <c r="AD37" s="207">
        <v>40</v>
      </c>
    </row>
    <row r="38" spans="1:54">
      <c r="A38" s="43" t="s">
        <v>57</v>
      </c>
      <c r="B38" s="191">
        <v>26.491890939110927</v>
      </c>
      <c r="C38" s="85">
        <v>31.0108006719563</v>
      </c>
      <c r="D38" s="135" t="s">
        <v>212</v>
      </c>
      <c r="E38" s="85">
        <v>100</v>
      </c>
      <c r="F38" s="227">
        <v>26.783229396264137</v>
      </c>
      <c r="G38" s="85">
        <v>100</v>
      </c>
      <c r="H38" s="85">
        <v>100</v>
      </c>
      <c r="I38" s="85">
        <v>100</v>
      </c>
      <c r="J38" s="85">
        <v>100</v>
      </c>
      <c r="K38" s="85">
        <v>100</v>
      </c>
      <c r="L38" s="85">
        <v>100</v>
      </c>
      <c r="M38" s="85">
        <v>100</v>
      </c>
      <c r="N38" s="85">
        <v>100</v>
      </c>
      <c r="O38" s="85">
        <v>100</v>
      </c>
      <c r="P38" s="85">
        <v>100</v>
      </c>
      <c r="Q38" s="85">
        <v>100</v>
      </c>
      <c r="R38" s="85">
        <v>100</v>
      </c>
      <c r="S38" s="85">
        <v>100</v>
      </c>
      <c r="T38" s="85">
        <v>100</v>
      </c>
      <c r="U38" s="85">
        <v>100</v>
      </c>
      <c r="V38" s="85">
        <v>100</v>
      </c>
      <c r="W38" s="26">
        <v>100</v>
      </c>
      <c r="X38" s="228">
        <v>43.653288823362949</v>
      </c>
      <c r="Y38" s="135" t="s">
        <v>212</v>
      </c>
      <c r="Z38" s="135" t="s">
        <v>212</v>
      </c>
      <c r="AA38" s="210" t="s">
        <v>212</v>
      </c>
      <c r="AB38" s="26">
        <v>47</v>
      </c>
      <c r="AC38" s="26">
        <v>27</v>
      </c>
      <c r="AD38" s="207">
        <v>46</v>
      </c>
    </row>
    <row r="39" spans="1:54">
      <c r="A39" s="43" t="s">
        <v>58</v>
      </c>
      <c r="B39" s="191">
        <v>11.139625284398839</v>
      </c>
      <c r="C39" s="85">
        <v>2.1564101055537321</v>
      </c>
      <c r="D39" s="135" t="s">
        <v>212</v>
      </c>
      <c r="E39" s="85">
        <v>52.96091580617977</v>
      </c>
      <c r="F39" s="227">
        <v>11.361760281193289</v>
      </c>
      <c r="G39" s="85">
        <v>81.209623476419083</v>
      </c>
      <c r="H39" s="85">
        <v>98.800059918108744</v>
      </c>
      <c r="I39" s="85">
        <v>77.19542060413896</v>
      </c>
      <c r="J39" s="85">
        <v>94.078647831443661</v>
      </c>
      <c r="K39" s="85">
        <v>86.711682295700555</v>
      </c>
      <c r="L39" s="85">
        <v>93.172669613614445</v>
      </c>
      <c r="M39" s="85">
        <v>87.034984619926263</v>
      </c>
      <c r="N39" s="85">
        <v>100</v>
      </c>
      <c r="O39" s="85">
        <v>100.32532554943988</v>
      </c>
      <c r="P39" s="85">
        <v>61.518972752894541</v>
      </c>
      <c r="Q39" s="85">
        <v>50.846272287659808</v>
      </c>
      <c r="R39" s="85">
        <v>80.638622583195669</v>
      </c>
      <c r="S39" s="85">
        <v>94.936891411521358</v>
      </c>
      <c r="T39" s="85">
        <v>96.150303948422149</v>
      </c>
      <c r="U39" s="85">
        <v>100</v>
      </c>
      <c r="V39" s="85">
        <v>81.952742136419744</v>
      </c>
      <c r="W39" s="26">
        <f t="shared" ref="W39:W44" si="1">AVERAGE(G39:T39)</f>
        <v>85.901391206606064</v>
      </c>
      <c r="X39" s="228">
        <v>64.429494259296249</v>
      </c>
      <c r="Y39" s="135" t="s">
        <v>212</v>
      </c>
      <c r="Z39" s="135" t="s">
        <v>212</v>
      </c>
      <c r="AA39" s="210" t="s">
        <v>212</v>
      </c>
      <c r="AB39" s="26">
        <v>49</v>
      </c>
      <c r="AC39" s="26">
        <v>28</v>
      </c>
      <c r="AD39" s="207">
        <v>47</v>
      </c>
    </row>
    <row r="40" spans="1:54">
      <c r="A40" s="43" t="s">
        <v>184</v>
      </c>
      <c r="B40" s="191">
        <v>15.886019665756457</v>
      </c>
      <c r="C40" s="85">
        <v>6.3768349927678978</v>
      </c>
      <c r="D40" s="135" t="s">
        <v>212</v>
      </c>
      <c r="E40" s="85">
        <v>70.592902475947099</v>
      </c>
      <c r="F40" s="227">
        <v>16.776057194893379</v>
      </c>
      <c r="G40" s="85">
        <v>105.29246241073417</v>
      </c>
      <c r="H40" s="85">
        <v>95.969208506812166</v>
      </c>
      <c r="I40" s="85">
        <v>77.248532135728155</v>
      </c>
      <c r="J40" s="85">
        <v>99.886428152688822</v>
      </c>
      <c r="K40" s="85">
        <v>74.935142698247574</v>
      </c>
      <c r="L40" s="85">
        <v>79.212275907471906</v>
      </c>
      <c r="M40" s="85">
        <v>96.349360725698389</v>
      </c>
      <c r="N40" s="85">
        <v>100</v>
      </c>
      <c r="O40" s="85">
        <v>101.64193991905618</v>
      </c>
      <c r="P40" s="85">
        <v>81.362656358566625</v>
      </c>
      <c r="Q40" s="85">
        <v>76.532027106682378</v>
      </c>
      <c r="R40" s="85">
        <v>91.87915053581186</v>
      </c>
      <c r="S40" s="85">
        <v>93.761508732918415</v>
      </c>
      <c r="T40" s="85">
        <v>85.353506234782685</v>
      </c>
      <c r="U40" s="85">
        <v>44.604408021574919</v>
      </c>
      <c r="V40" s="85">
        <v>84.397974125877866</v>
      </c>
      <c r="W40" s="26">
        <f t="shared" si="1"/>
        <v>89.958871387514236</v>
      </c>
      <c r="X40" s="228">
        <v>49.65284570948203</v>
      </c>
      <c r="Y40" s="135" t="s">
        <v>212</v>
      </c>
      <c r="Z40" s="135" t="s">
        <v>212</v>
      </c>
      <c r="AA40" s="210" t="s">
        <v>212</v>
      </c>
      <c r="AB40" s="26">
        <v>53</v>
      </c>
      <c r="AC40" s="26">
        <v>16</v>
      </c>
      <c r="AD40" s="207">
        <v>55</v>
      </c>
    </row>
    <row r="41" spans="1:54">
      <c r="A41" s="43" t="s">
        <v>185</v>
      </c>
      <c r="B41" s="191">
        <v>15.224190198844061</v>
      </c>
      <c r="C41" s="85">
        <v>4.6847890345005299</v>
      </c>
      <c r="D41" s="135" t="s">
        <v>212</v>
      </c>
      <c r="E41" s="85">
        <v>52.205489505534423</v>
      </c>
      <c r="F41" s="227">
        <v>17.49595448853421</v>
      </c>
      <c r="G41" s="85">
        <v>67.038687271218365</v>
      </c>
      <c r="H41" s="85">
        <v>93.923226290447644</v>
      </c>
      <c r="I41" s="85">
        <v>68.949744685169904</v>
      </c>
      <c r="J41" s="85">
        <v>79.990552209092826</v>
      </c>
      <c r="K41" s="85">
        <v>80.607197411007519</v>
      </c>
      <c r="L41" s="85">
        <v>83.038501854735685</v>
      </c>
      <c r="M41" s="85">
        <v>75.163849981277977</v>
      </c>
      <c r="N41" s="85">
        <v>78.928768333921639</v>
      </c>
      <c r="O41" s="85">
        <v>98.186054332737228</v>
      </c>
      <c r="P41" s="85">
        <v>62.59141966039661</v>
      </c>
      <c r="Q41" s="85">
        <v>81.504213553339639</v>
      </c>
      <c r="R41" s="85">
        <v>72.449721951555702</v>
      </c>
      <c r="S41" s="85">
        <v>80.104535272395069</v>
      </c>
      <c r="T41" s="85">
        <v>79.78553403448872</v>
      </c>
      <c r="U41" s="85">
        <v>76.074053926609324</v>
      </c>
      <c r="V41" s="85">
        <v>76.736590987720319</v>
      </c>
      <c r="W41" s="26">
        <f t="shared" si="1"/>
        <v>78.733000488698892</v>
      </c>
      <c r="X41" s="228">
        <v>53.773279154165401</v>
      </c>
      <c r="Y41" s="135" t="s">
        <v>212</v>
      </c>
      <c r="Z41" s="135" t="s">
        <v>212</v>
      </c>
      <c r="AA41" s="210" t="s">
        <v>212</v>
      </c>
      <c r="AB41" s="26">
        <v>54</v>
      </c>
      <c r="AC41" s="26">
        <v>0</v>
      </c>
      <c r="AD41" s="207">
        <v>53</v>
      </c>
    </row>
    <row r="42" spans="1:54">
      <c r="A42" s="43" t="s">
        <v>59</v>
      </c>
      <c r="B42" s="191">
        <v>35.093828114910423</v>
      </c>
      <c r="C42" s="85">
        <v>25.826367723352067</v>
      </c>
      <c r="D42" s="135" t="s">
        <v>212</v>
      </c>
      <c r="E42" s="85">
        <v>59.801751579986821</v>
      </c>
      <c r="F42" s="227">
        <v>36.363911727206101</v>
      </c>
      <c r="G42" s="85">
        <v>56.013812413453032</v>
      </c>
      <c r="H42" s="85">
        <v>94.338398219382626</v>
      </c>
      <c r="I42" s="85">
        <v>64.754018196141828</v>
      </c>
      <c r="J42" s="85">
        <v>81.175037225340262</v>
      </c>
      <c r="K42" s="85">
        <v>80.897487875418676</v>
      </c>
      <c r="L42" s="85">
        <v>80.759456321668026</v>
      </c>
      <c r="M42" s="85">
        <v>76.180970671218304</v>
      </c>
      <c r="N42" s="85">
        <v>69.419421981512656</v>
      </c>
      <c r="O42" s="85">
        <v>97.545679598946961</v>
      </c>
      <c r="P42" s="85">
        <v>45.617034463618211</v>
      </c>
      <c r="Q42" s="85">
        <v>63.737914657930787</v>
      </c>
      <c r="R42" s="85">
        <v>71.292086008146939</v>
      </c>
      <c r="S42" s="85">
        <v>74.468044718131921</v>
      </c>
      <c r="T42" s="85">
        <v>77.923220022057308</v>
      </c>
      <c r="U42" s="85">
        <v>17.110678397749592</v>
      </c>
      <c r="V42" s="85">
        <v>78.479741783749049</v>
      </c>
      <c r="W42" s="26">
        <f t="shared" si="1"/>
        <v>73.865898740926269</v>
      </c>
      <c r="X42" s="228">
        <v>68.921784780763815</v>
      </c>
      <c r="Y42" s="135" t="s">
        <v>212</v>
      </c>
      <c r="Z42" s="135" t="s">
        <v>212</v>
      </c>
      <c r="AA42" s="210" t="s">
        <v>212</v>
      </c>
      <c r="AB42" s="26">
        <v>77</v>
      </c>
      <c r="AC42" s="26">
        <v>0</v>
      </c>
      <c r="AD42" s="207">
        <v>81</v>
      </c>
    </row>
    <row r="43" spans="1:54">
      <c r="A43" s="43" t="s">
        <v>61</v>
      </c>
      <c r="B43" s="228">
        <v>21.577269670002423</v>
      </c>
      <c r="C43" s="85">
        <v>12.828724030392229</v>
      </c>
      <c r="D43" s="135" t="s">
        <v>212</v>
      </c>
      <c r="E43" s="85">
        <v>89.350751734806707</v>
      </c>
      <c r="F43" s="227">
        <v>22.081804615796198</v>
      </c>
      <c r="G43" s="85">
        <v>100</v>
      </c>
      <c r="H43" s="85">
        <v>100</v>
      </c>
      <c r="I43" s="85">
        <v>100</v>
      </c>
      <c r="J43" s="85">
        <v>100</v>
      </c>
      <c r="K43" s="85">
        <v>96.901408774038273</v>
      </c>
      <c r="L43" s="85">
        <v>99.734545662648927</v>
      </c>
      <c r="M43" s="85">
        <v>100</v>
      </c>
      <c r="N43" s="85">
        <v>100</v>
      </c>
      <c r="O43" s="85">
        <v>100</v>
      </c>
      <c r="P43" s="85">
        <v>94.732739036611278</v>
      </c>
      <c r="Q43" s="85">
        <v>100</v>
      </c>
      <c r="R43" s="85">
        <v>100</v>
      </c>
      <c r="S43" s="85">
        <v>100</v>
      </c>
      <c r="T43" s="85">
        <v>100</v>
      </c>
      <c r="U43" s="85">
        <v>75.455912086019509</v>
      </c>
      <c r="V43" s="85">
        <v>100</v>
      </c>
      <c r="W43" s="26">
        <f t="shared" si="1"/>
        <v>99.383478105235596</v>
      </c>
      <c r="X43" s="228">
        <v>14.816714134971383</v>
      </c>
      <c r="Y43" s="135" t="s">
        <v>212</v>
      </c>
      <c r="Z43" s="135" t="s">
        <v>212</v>
      </c>
      <c r="AA43" s="210" t="s">
        <v>212</v>
      </c>
      <c r="AB43" s="26">
        <v>51</v>
      </c>
      <c r="AC43" s="26">
        <v>0</v>
      </c>
      <c r="AD43" s="207">
        <v>61</v>
      </c>
    </row>
    <row r="44" spans="1:54">
      <c r="A44" s="43" t="s">
        <v>60</v>
      </c>
      <c r="B44" s="228">
        <v>16.857552843475531</v>
      </c>
      <c r="C44" s="85">
        <v>9.3465685126623317</v>
      </c>
      <c r="D44" s="135" t="s">
        <v>212</v>
      </c>
      <c r="E44" s="85">
        <v>23.130512683433803</v>
      </c>
      <c r="F44" s="227">
        <v>11.083983196976639</v>
      </c>
      <c r="G44" s="85">
        <v>0</v>
      </c>
      <c r="H44" s="85">
        <v>78.630136483794544</v>
      </c>
      <c r="I44" s="85">
        <v>19.928982986635443</v>
      </c>
      <c r="J44" s="85">
        <v>51.417510691656013</v>
      </c>
      <c r="K44" s="85">
        <v>62.694277490829187</v>
      </c>
      <c r="L44" s="85">
        <v>66.582456855795556</v>
      </c>
      <c r="M44" s="85">
        <v>16.964782339950698</v>
      </c>
      <c r="N44" s="85">
        <v>0</v>
      </c>
      <c r="O44" s="85">
        <v>98.569693664897798</v>
      </c>
      <c r="P44" s="85">
        <v>2.4612948187930948</v>
      </c>
      <c r="Q44" s="85">
        <v>0</v>
      </c>
      <c r="R44" s="85">
        <v>32.934854719282491</v>
      </c>
      <c r="S44" s="85">
        <v>30.314944973662449</v>
      </c>
      <c r="T44" s="85">
        <v>40.18681541196645</v>
      </c>
      <c r="U44" s="85">
        <v>90.687064278075624</v>
      </c>
      <c r="V44" s="85">
        <v>42.16861468450135</v>
      </c>
      <c r="W44" s="26">
        <f t="shared" si="1"/>
        <v>35.763267888375985</v>
      </c>
      <c r="X44" s="228">
        <v>48.049841089409249</v>
      </c>
      <c r="Y44" s="135" t="s">
        <v>212</v>
      </c>
      <c r="Z44" s="135" t="s">
        <v>212</v>
      </c>
      <c r="AA44" s="210" t="s">
        <v>212</v>
      </c>
      <c r="AB44" s="26">
        <v>66</v>
      </c>
      <c r="AC44" s="26">
        <v>0</v>
      </c>
      <c r="AD44" s="207">
        <v>68</v>
      </c>
    </row>
    <row r="45" spans="1:54">
      <c r="A45" s="43"/>
      <c r="B45" s="85"/>
      <c r="C45" s="85"/>
      <c r="D45" s="13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26"/>
      <c r="X45" s="85"/>
      <c r="Y45" s="135"/>
      <c r="Z45" s="135"/>
      <c r="AA45" s="135"/>
      <c r="AB45" s="26"/>
      <c r="AC45" s="26"/>
      <c r="AD45" s="26"/>
    </row>
    <row r="46" spans="1:54">
      <c r="A46" s="43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</row>
    <row r="47" spans="1:54" ht="18.75">
      <c r="A47" s="43"/>
      <c r="C47" s="230" t="s">
        <v>178</v>
      </c>
      <c r="D47" s="99"/>
      <c r="E47" s="99"/>
      <c r="F47" s="212"/>
      <c r="G47" s="108"/>
      <c r="H47" s="108"/>
      <c r="I47" s="108"/>
      <c r="J47" s="108"/>
      <c r="K47" s="108"/>
      <c r="L47" s="113" t="s">
        <v>172</v>
      </c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217"/>
      <c r="Y47" s="112" t="s">
        <v>175</v>
      </c>
      <c r="Z47" s="130"/>
      <c r="AA47" s="218"/>
    </row>
    <row r="48" spans="1:54">
      <c r="B48" s="77"/>
      <c r="C48" s="231" t="s">
        <v>176</v>
      </c>
      <c r="D48" s="99"/>
      <c r="E48" s="104" t="s">
        <v>101</v>
      </c>
      <c r="F48" s="212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217"/>
      <c r="Y48" s="110"/>
      <c r="Z48" s="130"/>
      <c r="AA48" s="218"/>
    </row>
    <row r="49" spans="1:28" s="35" customFormat="1" ht="16.5" thickBot="1">
      <c r="A49" s="73" t="s">
        <v>79</v>
      </c>
      <c r="B49" s="82"/>
      <c r="C49" s="213" t="s">
        <v>99</v>
      </c>
      <c r="D49" s="100" t="s">
        <v>1</v>
      </c>
      <c r="E49" s="101" t="s">
        <v>2</v>
      </c>
      <c r="F49" s="214" t="s">
        <v>3</v>
      </c>
      <c r="G49" s="103" t="s">
        <v>18</v>
      </c>
      <c r="H49" s="103" t="s">
        <v>19</v>
      </c>
      <c r="I49" s="103" t="s">
        <v>20</v>
      </c>
      <c r="J49" s="103" t="s">
        <v>21</v>
      </c>
      <c r="K49" s="103" t="s">
        <v>22</v>
      </c>
      <c r="L49" s="103" t="s">
        <v>23</v>
      </c>
      <c r="M49" s="103" t="s">
        <v>24</v>
      </c>
      <c r="N49" s="103" t="s">
        <v>25</v>
      </c>
      <c r="O49" s="103" t="s">
        <v>26</v>
      </c>
      <c r="P49" s="103" t="s">
        <v>27</v>
      </c>
      <c r="Q49" s="103" t="s">
        <v>28</v>
      </c>
      <c r="R49" s="103" t="s">
        <v>29</v>
      </c>
      <c r="S49" s="103" t="s">
        <v>30</v>
      </c>
      <c r="T49" s="103" t="s">
        <v>31</v>
      </c>
      <c r="U49" s="103" t="s">
        <v>32</v>
      </c>
      <c r="V49" s="103" t="s">
        <v>33</v>
      </c>
      <c r="W49" s="102" t="s">
        <v>17</v>
      </c>
      <c r="X49" s="223" t="s">
        <v>12</v>
      </c>
      <c r="Y49" s="111" t="s">
        <v>13</v>
      </c>
      <c r="Z49" s="111" t="s">
        <v>15</v>
      </c>
      <c r="AA49" s="224" t="s">
        <v>16</v>
      </c>
    </row>
    <row r="50" spans="1:28">
      <c r="A50" s="6" t="s">
        <v>186</v>
      </c>
      <c r="B50" s="3"/>
      <c r="C50" s="232">
        <v>75.268216994237847</v>
      </c>
      <c r="D50" s="59">
        <v>85.825536585761711</v>
      </c>
      <c r="E50" s="59">
        <v>95.945878996799152</v>
      </c>
      <c r="F50" s="233">
        <v>80.821453144165474</v>
      </c>
      <c r="G50" s="59">
        <v>96.968942898520552</v>
      </c>
      <c r="H50" s="59">
        <v>99.426632261448148</v>
      </c>
      <c r="I50" s="59">
        <v>95.186969929866208</v>
      </c>
      <c r="J50" s="59">
        <v>95.131746764008781</v>
      </c>
      <c r="K50" s="59">
        <v>95.410516678923798</v>
      </c>
      <c r="L50" s="59">
        <v>97.16538315848554</v>
      </c>
      <c r="M50" s="59">
        <v>97.001581818698128</v>
      </c>
      <c r="N50" s="59">
        <v>97.245310439009316</v>
      </c>
      <c r="O50" s="59">
        <v>97.402600988926395</v>
      </c>
      <c r="P50" s="59">
        <v>97.499377790055334</v>
      </c>
      <c r="Q50" s="59">
        <v>91.231590178194168</v>
      </c>
      <c r="R50" s="59">
        <v>95.548775705715158</v>
      </c>
      <c r="S50" s="59">
        <v>94.446525292967507</v>
      </c>
      <c r="T50" s="59">
        <v>91.992463944208836</v>
      </c>
      <c r="U50" s="59">
        <v>98.3844999479427</v>
      </c>
      <c r="V50" s="59">
        <v>95.529884454812645</v>
      </c>
      <c r="W50" s="59">
        <v>95.815129079716783</v>
      </c>
      <c r="X50" s="232">
        <v>10.099341544288293</v>
      </c>
      <c r="Y50" s="59">
        <v>93.582029851907123</v>
      </c>
      <c r="Z50" s="59">
        <v>80.257128521858832</v>
      </c>
      <c r="AA50" s="233">
        <v>19.727756397600107</v>
      </c>
    </row>
    <row r="51" spans="1:28">
      <c r="A51" s="6" t="s">
        <v>70</v>
      </c>
      <c r="B51" s="3"/>
      <c r="C51" s="232">
        <v>94.258291456925363</v>
      </c>
      <c r="D51" s="59">
        <v>100</v>
      </c>
      <c r="E51" s="59">
        <v>100</v>
      </c>
      <c r="F51" s="233">
        <v>98.028272266783958</v>
      </c>
      <c r="G51" s="59">
        <v>100</v>
      </c>
      <c r="H51" s="59">
        <v>100</v>
      </c>
      <c r="I51" s="59">
        <v>99.342468164615113</v>
      </c>
      <c r="J51" s="59">
        <v>100</v>
      </c>
      <c r="K51" s="59">
        <v>100</v>
      </c>
      <c r="L51" s="59">
        <v>100</v>
      </c>
      <c r="M51" s="59">
        <v>100</v>
      </c>
      <c r="N51" s="59">
        <v>100</v>
      </c>
      <c r="O51" s="59">
        <v>100</v>
      </c>
      <c r="P51" s="59">
        <v>100</v>
      </c>
      <c r="Q51" s="59">
        <v>100</v>
      </c>
      <c r="R51" s="59">
        <v>100</v>
      </c>
      <c r="S51" s="59">
        <v>100</v>
      </c>
      <c r="T51" s="59">
        <v>99.759565928739974</v>
      </c>
      <c r="U51" s="59">
        <v>100</v>
      </c>
      <c r="V51" s="59">
        <v>100</v>
      </c>
      <c r="W51" s="59">
        <v>100</v>
      </c>
      <c r="X51" s="232">
        <v>35.009345806255034</v>
      </c>
      <c r="Y51" s="59">
        <v>97.504169195165574</v>
      </c>
      <c r="Z51" s="59">
        <v>78.606240348275648</v>
      </c>
      <c r="AA51" s="233">
        <v>88.702045208050549</v>
      </c>
    </row>
    <row r="52" spans="1:28">
      <c r="A52" s="6" t="s">
        <v>74</v>
      </c>
      <c r="B52" s="3"/>
      <c r="C52" s="232">
        <v>97.344393838525477</v>
      </c>
      <c r="D52" s="59">
        <v>100</v>
      </c>
      <c r="E52" s="59">
        <v>99.686145639895472</v>
      </c>
      <c r="F52" s="233">
        <v>96.948026248813832</v>
      </c>
      <c r="G52" s="59">
        <v>96.073363283262509</v>
      </c>
      <c r="H52" s="59">
        <v>98.612749498306016</v>
      </c>
      <c r="I52" s="59">
        <v>95.618231994284614</v>
      </c>
      <c r="J52" s="59">
        <v>98.121979048189715</v>
      </c>
      <c r="K52" s="59">
        <v>96.402717568402807</v>
      </c>
      <c r="L52" s="59">
        <v>96.09394229014633</v>
      </c>
      <c r="M52" s="59">
        <v>99.835858713002651</v>
      </c>
      <c r="N52" s="59">
        <v>98.842761253729989</v>
      </c>
      <c r="O52" s="59">
        <v>93.606217907282783</v>
      </c>
      <c r="P52" s="59">
        <v>99.319742616502651</v>
      </c>
      <c r="Q52" s="59">
        <v>99.95551866400946</v>
      </c>
      <c r="R52" s="59">
        <v>99.177122434183374</v>
      </c>
      <c r="S52" s="59">
        <v>97.310029305547005</v>
      </c>
      <c r="T52" s="59">
        <v>95.745403712663062</v>
      </c>
      <c r="U52" s="59">
        <v>99.80161985434313</v>
      </c>
      <c r="V52" s="59">
        <v>96.80613507507519</v>
      </c>
      <c r="W52" s="59">
        <v>97.949110536808618</v>
      </c>
      <c r="X52" s="232">
        <v>82.381323520137428</v>
      </c>
      <c r="Y52" s="59">
        <v>92.256651579147999</v>
      </c>
      <c r="Z52" s="59">
        <v>83.713881531116655</v>
      </c>
      <c r="AA52" s="233">
        <v>51.266703486781189</v>
      </c>
    </row>
    <row r="53" spans="1:28">
      <c r="A53" s="6" t="s">
        <v>69</v>
      </c>
      <c r="B53" s="3"/>
      <c r="C53" s="232">
        <v>94.954324395228767</v>
      </c>
      <c r="D53" s="59">
        <v>91.665600432184377</v>
      </c>
      <c r="E53" s="59">
        <v>89.487441504570654</v>
      </c>
      <c r="F53" s="233">
        <v>91.34279362027479</v>
      </c>
      <c r="G53" s="59">
        <v>90.88004388264234</v>
      </c>
      <c r="H53" s="59">
        <v>91.790142505286767</v>
      </c>
      <c r="I53" s="59">
        <v>87.152251737559808</v>
      </c>
      <c r="J53" s="59">
        <v>90.313268691916235</v>
      </c>
      <c r="K53" s="59">
        <v>85.446619854314591</v>
      </c>
      <c r="L53" s="59">
        <v>86.8533860017953</v>
      </c>
      <c r="M53" s="59">
        <v>87.790064047476378</v>
      </c>
      <c r="N53" s="59">
        <v>90.812927934917127</v>
      </c>
      <c r="O53" s="59">
        <v>87.610618870664737</v>
      </c>
      <c r="P53" s="59">
        <v>91.638237231975793</v>
      </c>
      <c r="Q53" s="59">
        <v>90.843278677983037</v>
      </c>
      <c r="R53" s="59">
        <v>90.573447291731384</v>
      </c>
      <c r="S53" s="59">
        <v>90.68256939650496</v>
      </c>
      <c r="T53" s="59">
        <v>85.670554147384294</v>
      </c>
      <c r="U53" s="59">
        <v>92.136269665484235</v>
      </c>
      <c r="V53" s="59">
        <v>87.812447680856579</v>
      </c>
      <c r="W53" s="59">
        <v>89.92598737286032</v>
      </c>
      <c r="X53" s="232">
        <v>58.164181393632781</v>
      </c>
      <c r="Y53" s="59">
        <v>68.314711275025346</v>
      </c>
      <c r="Z53" s="59">
        <v>77.814287140468878</v>
      </c>
      <c r="AA53" s="233">
        <v>100</v>
      </c>
    </row>
    <row r="54" spans="1:28">
      <c r="A54" s="6" t="s">
        <v>204</v>
      </c>
      <c r="B54" s="3"/>
      <c r="C54" s="232">
        <v>77.542341294089852</v>
      </c>
      <c r="D54" s="59">
        <v>85.419238175235492</v>
      </c>
      <c r="E54" s="59">
        <v>80.510420155858171</v>
      </c>
      <c r="F54" s="233">
        <v>75.422952118428597</v>
      </c>
      <c r="G54" s="59">
        <v>79.005935102227696</v>
      </c>
      <c r="H54" s="59">
        <v>78.435463381744384</v>
      </c>
      <c r="I54" s="59">
        <v>81.158750609033902</v>
      </c>
      <c r="J54" s="59">
        <v>85.18371377754039</v>
      </c>
      <c r="K54" s="59">
        <v>84.382038411813028</v>
      </c>
      <c r="L54" s="59">
        <v>82.081292425950622</v>
      </c>
      <c r="M54" s="59">
        <v>84.009185354224584</v>
      </c>
      <c r="N54" s="59">
        <v>80.478047280148516</v>
      </c>
      <c r="O54" s="59">
        <v>88.397404430800478</v>
      </c>
      <c r="P54" s="59">
        <v>91.001555676706559</v>
      </c>
      <c r="Q54" s="59">
        <v>78.051502573135238</v>
      </c>
      <c r="R54" s="59">
        <v>86.550566922695864</v>
      </c>
      <c r="S54" s="59">
        <v>79.256185347826474</v>
      </c>
      <c r="T54" s="59">
        <v>86.518867620278414</v>
      </c>
      <c r="U54" s="59">
        <v>86.430771415250092</v>
      </c>
      <c r="V54" s="59">
        <v>74.869728364720388</v>
      </c>
      <c r="W54" s="59">
        <v>82.228312325702518</v>
      </c>
      <c r="X54" s="232">
        <v>83.541272435641602</v>
      </c>
      <c r="Y54" s="59">
        <v>94.240944389939997</v>
      </c>
      <c r="Z54" s="59">
        <v>54.728415587660301</v>
      </c>
      <c r="AA54" s="233">
        <v>7.7768884830350089</v>
      </c>
    </row>
    <row r="55" spans="1:28">
      <c r="A55" s="141" t="s">
        <v>213</v>
      </c>
      <c r="B55" s="3"/>
      <c r="C55" s="232">
        <v>83.881484290923339</v>
      </c>
      <c r="D55" s="59">
        <v>69.72396416072344</v>
      </c>
      <c r="E55" s="59">
        <v>80.256421582818106</v>
      </c>
      <c r="F55" s="233">
        <v>83.142808974479422</v>
      </c>
      <c r="G55" s="59">
        <v>82.044950395165699</v>
      </c>
      <c r="H55" s="59">
        <v>73.700958526375928</v>
      </c>
      <c r="I55" s="59">
        <v>82.643611896635605</v>
      </c>
      <c r="J55" s="59">
        <v>81.706122709014153</v>
      </c>
      <c r="K55" s="59">
        <v>88.442789370908145</v>
      </c>
      <c r="L55" s="59">
        <v>87.742668121555724</v>
      </c>
      <c r="M55" s="59">
        <v>86.601555671751768</v>
      </c>
      <c r="N55" s="59">
        <v>85.661762060706721</v>
      </c>
      <c r="O55" s="59">
        <v>89.626944400904662</v>
      </c>
      <c r="P55" s="59">
        <v>94.72486732824143</v>
      </c>
      <c r="Q55" s="59">
        <v>86.661514980530271</v>
      </c>
      <c r="R55" s="59">
        <v>94.534953033314309</v>
      </c>
      <c r="S55" s="59">
        <v>85.063931512763403</v>
      </c>
      <c r="T55" s="59">
        <v>89.599306720217569</v>
      </c>
      <c r="U55" s="59">
        <v>88.547153052283647</v>
      </c>
      <c r="V55" s="59">
        <v>76.13045824638327</v>
      </c>
      <c r="W55" s="59">
        <v>84.146642120265199</v>
      </c>
      <c r="X55" s="232">
        <v>91.650193437382413</v>
      </c>
      <c r="Y55" s="59">
        <v>97.125146396732205</v>
      </c>
      <c r="Z55" s="59">
        <v>61.381223465237525</v>
      </c>
      <c r="AA55" s="233">
        <v>100</v>
      </c>
    </row>
    <row r="56" spans="1:28">
      <c r="A56" s="6" t="s">
        <v>195</v>
      </c>
      <c r="B56" s="3"/>
      <c r="C56" s="232">
        <v>98.284478552324074</v>
      </c>
      <c r="D56" s="59">
        <v>100</v>
      </c>
      <c r="E56" s="59">
        <v>91.732982943630347</v>
      </c>
      <c r="F56" s="233">
        <v>100</v>
      </c>
      <c r="G56" s="59">
        <v>93.451060449739543</v>
      </c>
      <c r="H56" s="59">
        <v>95.240203373828066</v>
      </c>
      <c r="I56" s="59">
        <v>89.127006642714591</v>
      </c>
      <c r="J56" s="59">
        <v>94.980710843231407</v>
      </c>
      <c r="K56" s="59">
        <v>85.178076304085963</v>
      </c>
      <c r="L56" s="59">
        <v>94.120876093236177</v>
      </c>
      <c r="M56" s="59">
        <v>97.540456894044326</v>
      </c>
      <c r="N56" s="59">
        <v>99.008786008896848</v>
      </c>
      <c r="O56" s="59">
        <v>94.206925164134347</v>
      </c>
      <c r="P56" s="59">
        <v>95.320305357587628</v>
      </c>
      <c r="Q56" s="59">
        <v>95.68130022969676</v>
      </c>
      <c r="R56" s="59">
        <v>92.096988169242692</v>
      </c>
      <c r="S56" s="59">
        <v>93.775823178842415</v>
      </c>
      <c r="T56" s="59">
        <v>94.706769958289939</v>
      </c>
      <c r="U56" s="59">
        <v>99.34117883398892</v>
      </c>
      <c r="V56" s="59">
        <v>96.099217789433808</v>
      </c>
      <c r="W56" s="59">
        <v>93.843856350365115</v>
      </c>
      <c r="X56" s="232">
        <v>57.303561411969845</v>
      </c>
      <c r="Y56" s="59">
        <v>98.241477754205903</v>
      </c>
      <c r="Z56" s="59">
        <v>96.80116666494051</v>
      </c>
      <c r="AA56" s="233">
        <v>74.660593150976055</v>
      </c>
    </row>
    <row r="57" spans="1:28">
      <c r="A57" s="6" t="s">
        <v>71</v>
      </c>
      <c r="B57" s="3"/>
      <c r="C57" s="232">
        <v>84.997205297226955</v>
      </c>
      <c r="D57" s="59">
        <v>99.051641653357478</v>
      </c>
      <c r="E57" s="59">
        <v>84.444193350330934</v>
      </c>
      <c r="F57" s="233">
        <v>91.971227338636425</v>
      </c>
      <c r="G57" s="59">
        <v>93.100640981014678</v>
      </c>
      <c r="H57" s="59">
        <v>93.180456919360566</v>
      </c>
      <c r="I57" s="59">
        <v>79.425808281498519</v>
      </c>
      <c r="J57" s="59">
        <v>86.231673291408811</v>
      </c>
      <c r="K57" s="59">
        <v>82.917179728600516</v>
      </c>
      <c r="L57" s="59">
        <v>81.73688511833268</v>
      </c>
      <c r="M57" s="59">
        <v>91.571841006511974</v>
      </c>
      <c r="N57" s="59">
        <v>91.476051922367787</v>
      </c>
      <c r="O57" s="59">
        <v>88.820173870692841</v>
      </c>
      <c r="P57" s="59">
        <v>88.175694759046408</v>
      </c>
      <c r="Q57" s="59">
        <v>38.528132886844951</v>
      </c>
      <c r="R57" s="59">
        <v>85.469725672981156</v>
      </c>
      <c r="S57" s="59">
        <v>85.167985157729433</v>
      </c>
      <c r="T57" s="59">
        <v>82.639905318223228</v>
      </c>
      <c r="U57" s="59">
        <v>44.711162656941887</v>
      </c>
      <c r="V57" s="59">
        <v>89.510823704790354</v>
      </c>
      <c r="W57" s="59">
        <v>81.52484997124219</v>
      </c>
      <c r="X57" s="232">
        <v>59.910775603794406</v>
      </c>
      <c r="Y57" s="59">
        <v>89.421840982807495</v>
      </c>
      <c r="Z57" s="59">
        <v>73.218248503824626</v>
      </c>
      <c r="AA57" s="233">
        <v>55.308577266679606</v>
      </c>
    </row>
    <row r="58" spans="1:28">
      <c r="A58" s="6" t="s">
        <v>155</v>
      </c>
      <c r="B58" s="3"/>
      <c r="C58" s="232">
        <v>19.909029323725463</v>
      </c>
      <c r="D58" s="59">
        <v>5.7703588794207503</v>
      </c>
      <c r="E58" s="59">
        <v>36.714033141898071</v>
      </c>
      <c r="F58" s="233">
        <v>24.753504333488294</v>
      </c>
      <c r="G58" s="59">
        <v>53.607056886909454</v>
      </c>
      <c r="H58" s="59">
        <v>58.632754829806494</v>
      </c>
      <c r="I58" s="59">
        <v>67.605094677199062</v>
      </c>
      <c r="J58" s="59">
        <v>47.312307870245739</v>
      </c>
      <c r="K58" s="59">
        <v>36.454568885123471</v>
      </c>
      <c r="L58" s="59">
        <v>35.280887194473969</v>
      </c>
      <c r="M58" s="59">
        <v>46.273890625691671</v>
      </c>
      <c r="N58" s="59">
        <v>41.422910028305253</v>
      </c>
      <c r="O58" s="59">
        <v>53.10646924349637</v>
      </c>
      <c r="P58" s="59">
        <v>47.228776048093103</v>
      </c>
      <c r="Q58" s="59">
        <v>25.988527586080448</v>
      </c>
      <c r="R58" s="59">
        <v>32.511984060991331</v>
      </c>
      <c r="S58" s="59">
        <v>35.865086449871576</v>
      </c>
      <c r="T58" s="59">
        <v>30.959640754935702</v>
      </c>
      <c r="U58" s="59">
        <v>51.112079761531241</v>
      </c>
      <c r="V58" s="59">
        <v>37.19780015112665</v>
      </c>
      <c r="W58" s="59">
        <v>45.813773548852652</v>
      </c>
      <c r="X58" s="232">
        <v>62.714428808211942</v>
      </c>
      <c r="Y58" s="59">
        <v>95.833996668108981</v>
      </c>
      <c r="Z58" s="59">
        <v>10.019597540712281</v>
      </c>
      <c r="AA58" s="233">
        <v>-21.103751245760193</v>
      </c>
    </row>
    <row r="59" spans="1:28">
      <c r="C59" s="191"/>
      <c r="D59" s="26"/>
      <c r="E59" s="26"/>
      <c r="F59" s="207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192"/>
      <c r="Y59" s="84"/>
      <c r="Z59" s="26"/>
      <c r="AA59" s="234"/>
    </row>
    <row r="60" spans="1:28">
      <c r="A60" s="6" t="s">
        <v>64</v>
      </c>
      <c r="C60" s="191">
        <v>76.347945429618278</v>
      </c>
      <c r="D60" s="26">
        <v>98.308523995228271</v>
      </c>
      <c r="E60" s="26">
        <v>86.645149472893763</v>
      </c>
      <c r="F60" s="207">
        <v>81.746141600494823</v>
      </c>
      <c r="G60" s="26">
        <v>91.036291733306669</v>
      </c>
      <c r="H60" s="26">
        <v>94.617394265697968</v>
      </c>
      <c r="I60" s="26">
        <v>86.512712661848852</v>
      </c>
      <c r="J60" s="26">
        <v>92.838572969809206</v>
      </c>
      <c r="K60" s="26">
        <v>84.975630027244435</v>
      </c>
      <c r="L60" s="26">
        <v>87.025283851976454</v>
      </c>
      <c r="M60" s="26">
        <v>92.176552916844955</v>
      </c>
      <c r="N60" s="26">
        <v>91.541984748095501</v>
      </c>
      <c r="O60" s="26">
        <v>92.144302186040477</v>
      </c>
      <c r="P60" s="26">
        <v>91.129851822711771</v>
      </c>
      <c r="Q60" s="26">
        <v>81.768660375045954</v>
      </c>
      <c r="R60" s="26">
        <v>89.349244970815093</v>
      </c>
      <c r="S60" s="26">
        <v>90.290535850392004</v>
      </c>
      <c r="T60" s="26">
        <v>88.655659508174764</v>
      </c>
      <c r="U60" s="26">
        <v>92.512847751524376</v>
      </c>
      <c r="V60" s="26">
        <v>90.170779845956346</v>
      </c>
      <c r="W60" s="26">
        <v>90.217280551482929</v>
      </c>
      <c r="X60" s="191">
        <v>74.266213968957871</v>
      </c>
      <c r="Y60" s="26">
        <v>96.310258249641322</v>
      </c>
      <c r="Z60" s="26">
        <v>67.606492614221906</v>
      </c>
      <c r="AA60" s="207">
        <v>21.954684035476706</v>
      </c>
      <c r="AB60" s="28"/>
    </row>
    <row r="61" spans="1:28">
      <c r="A61" s="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8"/>
    </row>
    <row r="62" spans="1:28">
      <c r="A62" s="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8"/>
    </row>
    <row r="63" spans="1:28" ht="18.75">
      <c r="A63" s="6"/>
      <c r="C63" s="230" t="s">
        <v>178</v>
      </c>
      <c r="D63" s="99"/>
      <c r="E63" s="99"/>
      <c r="F63" s="212"/>
      <c r="G63" s="108"/>
      <c r="H63" s="108"/>
      <c r="I63" s="108"/>
      <c r="J63" s="108"/>
      <c r="K63" s="108"/>
      <c r="L63" s="113" t="s">
        <v>172</v>
      </c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235"/>
      <c r="Y63" s="132" t="s">
        <v>175</v>
      </c>
      <c r="Z63" s="133"/>
      <c r="AA63" s="236"/>
    </row>
    <row r="64" spans="1:28">
      <c r="C64" s="231" t="s">
        <v>176</v>
      </c>
      <c r="D64" s="99"/>
      <c r="E64" s="104" t="s">
        <v>101</v>
      </c>
      <c r="F64" s="212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235"/>
      <c r="Y64" s="131"/>
      <c r="Z64" s="133"/>
      <c r="AA64" s="236"/>
    </row>
    <row r="65" spans="1:27" s="35" customFormat="1" ht="16.5" thickBot="1">
      <c r="A65" s="74" t="s">
        <v>80</v>
      </c>
      <c r="C65" s="213" t="s">
        <v>99</v>
      </c>
      <c r="D65" s="100" t="s">
        <v>1</v>
      </c>
      <c r="E65" s="101" t="s">
        <v>2</v>
      </c>
      <c r="F65" s="214" t="s">
        <v>3</v>
      </c>
      <c r="G65" s="103" t="s">
        <v>18</v>
      </c>
      <c r="H65" s="103" t="s">
        <v>19</v>
      </c>
      <c r="I65" s="103" t="s">
        <v>20</v>
      </c>
      <c r="J65" s="103" t="s">
        <v>21</v>
      </c>
      <c r="K65" s="103" t="s">
        <v>22</v>
      </c>
      <c r="L65" s="103" t="s">
        <v>23</v>
      </c>
      <c r="M65" s="103" t="s">
        <v>24</v>
      </c>
      <c r="N65" s="103" t="s">
        <v>25</v>
      </c>
      <c r="O65" s="103" t="s">
        <v>26</v>
      </c>
      <c r="P65" s="103" t="s">
        <v>27</v>
      </c>
      <c r="Q65" s="103" t="s">
        <v>28</v>
      </c>
      <c r="R65" s="103" t="s">
        <v>29</v>
      </c>
      <c r="S65" s="103" t="s">
        <v>30</v>
      </c>
      <c r="T65" s="103" t="s">
        <v>31</v>
      </c>
      <c r="U65" s="103" t="s">
        <v>32</v>
      </c>
      <c r="V65" s="103" t="s">
        <v>33</v>
      </c>
      <c r="W65" s="102" t="s">
        <v>17</v>
      </c>
      <c r="X65" s="237" t="s">
        <v>12</v>
      </c>
      <c r="Y65" s="134" t="s">
        <v>13</v>
      </c>
      <c r="Z65" s="134" t="s">
        <v>15</v>
      </c>
      <c r="AA65" s="238" t="s">
        <v>16</v>
      </c>
    </row>
    <row r="66" spans="1:27">
      <c r="A66" s="43" t="s">
        <v>202</v>
      </c>
      <c r="B66" s="3"/>
      <c r="C66" s="232">
        <v>77.853863167798067</v>
      </c>
      <c r="D66" s="59">
        <v>0</v>
      </c>
      <c r="E66" s="59">
        <v>79.029917270021585</v>
      </c>
      <c r="F66" s="233">
        <v>72.790328510004542</v>
      </c>
      <c r="G66" s="59">
        <v>81.712671544987373</v>
      </c>
      <c r="H66" s="59">
        <v>76.10849598223426</v>
      </c>
      <c r="I66" s="59">
        <v>81.539187056740559</v>
      </c>
      <c r="J66" s="59">
        <v>79.111599037641056</v>
      </c>
      <c r="K66" s="59">
        <v>81.987426620896599</v>
      </c>
      <c r="L66" s="59">
        <v>83.346776285753961</v>
      </c>
      <c r="M66" s="59">
        <v>38.202727814778889</v>
      </c>
      <c r="N66" s="59">
        <v>83.894988687239291</v>
      </c>
      <c r="O66" s="59">
        <v>81.544236065205766</v>
      </c>
      <c r="P66" s="59">
        <v>74.614998638219802</v>
      </c>
      <c r="Q66" s="59">
        <v>82.045965321344724</v>
      </c>
      <c r="R66" s="59">
        <v>74.448226484892572</v>
      </c>
      <c r="S66" s="59">
        <v>80.647727402030469</v>
      </c>
      <c r="T66" s="59">
        <v>68.716130804314375</v>
      </c>
      <c r="U66" s="59">
        <v>72.162258199895732</v>
      </c>
      <c r="V66" s="59">
        <v>83.765860796941112</v>
      </c>
      <c r="W66" s="59">
        <v>80.084707025713968</v>
      </c>
      <c r="X66" s="232">
        <v>100</v>
      </c>
      <c r="Y66" s="59">
        <v>94.48654752057287</v>
      </c>
      <c r="Z66" s="59">
        <v>22.520233579057109</v>
      </c>
      <c r="AA66" s="233">
        <v>100</v>
      </c>
    </row>
    <row r="67" spans="1:27">
      <c r="A67" s="43" t="s">
        <v>203</v>
      </c>
      <c r="B67" s="3"/>
      <c r="C67" s="232">
        <v>79.140343601786938</v>
      </c>
      <c r="D67" s="59">
        <v>0</v>
      </c>
      <c r="E67" s="59">
        <v>76.913798266870103</v>
      </c>
      <c r="F67" s="233">
        <v>74.746012025032826</v>
      </c>
      <c r="G67" s="59">
        <v>81.831539605445982</v>
      </c>
      <c r="H67" s="59">
        <v>83.169395992200734</v>
      </c>
      <c r="I67" s="59">
        <v>80.382804031998376</v>
      </c>
      <c r="J67" s="59">
        <v>80.575539396812673</v>
      </c>
      <c r="K67" s="59">
        <v>80.790419826355347</v>
      </c>
      <c r="L67" s="59">
        <v>79.158514167347448</v>
      </c>
      <c r="M67" s="59">
        <v>53.387051118982271</v>
      </c>
      <c r="N67" s="59">
        <v>81.317967786409852</v>
      </c>
      <c r="O67" s="59">
        <v>81.992684129659565</v>
      </c>
      <c r="P67" s="59">
        <v>79.203198516796149</v>
      </c>
      <c r="Q67" s="59">
        <v>79.36319138362569</v>
      </c>
      <c r="R67" s="59">
        <v>76.538988980323168</v>
      </c>
      <c r="S67" s="59">
        <v>78.859955202579869</v>
      </c>
      <c r="T67" s="59">
        <v>76.173523263663</v>
      </c>
      <c r="U67" s="59">
        <v>79.370379341852811</v>
      </c>
      <c r="V67" s="59">
        <v>80.30920955830257</v>
      </c>
      <c r="W67" s="59">
        <v>80.343236360515718</v>
      </c>
      <c r="X67" s="232">
        <v>100</v>
      </c>
      <c r="Y67" s="59">
        <v>93.369808041305603</v>
      </c>
      <c r="Z67" s="59">
        <v>46.632844125304423</v>
      </c>
      <c r="AA67" s="233">
        <v>66.085560530004955</v>
      </c>
    </row>
    <row r="68" spans="1:27">
      <c r="A68" s="31" t="s">
        <v>153</v>
      </c>
      <c r="B68" s="3"/>
      <c r="C68" s="232">
        <v>67.515971759638106</v>
      </c>
      <c r="D68" s="59">
        <v>13.82675310321468</v>
      </c>
      <c r="E68" s="59">
        <v>90.274636204384976</v>
      </c>
      <c r="F68" s="233">
        <v>70.909184749964382</v>
      </c>
      <c r="G68" s="59">
        <v>94.964353319021427</v>
      </c>
      <c r="H68" s="59">
        <v>96.598027755948252</v>
      </c>
      <c r="I68" s="59">
        <v>87.698818538075898</v>
      </c>
      <c r="J68" s="59">
        <v>95.629204110108731</v>
      </c>
      <c r="K68" s="59">
        <v>87.342560922960772</v>
      </c>
      <c r="L68" s="59">
        <v>90.644452527561327</v>
      </c>
      <c r="M68" s="59">
        <v>94.003561426549865</v>
      </c>
      <c r="N68" s="59">
        <v>95.647167692205969</v>
      </c>
      <c r="O68" s="59">
        <v>90.626613484937138</v>
      </c>
      <c r="P68" s="59">
        <v>104.18183490239602</v>
      </c>
      <c r="Q68" s="59">
        <v>93.753235825217857</v>
      </c>
      <c r="R68" s="59">
        <v>93.623804991754128</v>
      </c>
      <c r="S68" s="59">
        <v>94.959835679802737</v>
      </c>
      <c r="T68" s="59">
        <v>88.508940403525401</v>
      </c>
      <c r="U68" s="59">
        <v>96.762305874717072</v>
      </c>
      <c r="V68" s="59">
        <v>92.595689342164903</v>
      </c>
      <c r="W68" s="59">
        <v>93.283493938119634</v>
      </c>
      <c r="X68" s="232">
        <v>42.816776835389476</v>
      </c>
      <c r="Y68" s="59">
        <v>94.810161986782873</v>
      </c>
      <c r="Z68" s="59">
        <v>44.3374888556447</v>
      </c>
      <c r="AA68" s="233">
        <v>65.257159994002095</v>
      </c>
    </row>
    <row r="69" spans="1:27">
      <c r="A69" s="31" t="s">
        <v>68</v>
      </c>
      <c r="B69" s="3"/>
      <c r="C69" s="232">
        <v>100.34949662315675</v>
      </c>
      <c r="D69" s="59">
        <v>94.783607030361978</v>
      </c>
      <c r="E69" s="59">
        <v>98.297137343655606</v>
      </c>
      <c r="F69" s="233">
        <v>99.026886574483839</v>
      </c>
      <c r="G69" s="59">
        <v>99.934721376578963</v>
      </c>
      <c r="H69" s="59">
        <v>98.144114382757621</v>
      </c>
      <c r="I69" s="59">
        <v>100</v>
      </c>
      <c r="J69" s="59">
        <v>100</v>
      </c>
      <c r="K69" s="59">
        <v>94.691357168239051</v>
      </c>
      <c r="L69" s="59">
        <v>99.471618944915079</v>
      </c>
      <c r="M69" s="59">
        <v>100.03233158559249</v>
      </c>
      <c r="N69" s="59">
        <v>100</v>
      </c>
      <c r="O69" s="59">
        <v>99.174995986155523</v>
      </c>
      <c r="P69" s="59">
        <v>100</v>
      </c>
      <c r="Q69" s="59">
        <v>98.691896345456243</v>
      </c>
      <c r="R69" s="59">
        <v>100</v>
      </c>
      <c r="S69" s="59">
        <v>100</v>
      </c>
      <c r="T69" s="59">
        <v>100</v>
      </c>
      <c r="U69" s="59">
        <v>100</v>
      </c>
      <c r="V69" s="59">
        <v>99.932332016121805</v>
      </c>
      <c r="W69" s="59">
        <v>100.31376558186933</v>
      </c>
      <c r="X69" s="232">
        <v>77.567202937857658</v>
      </c>
      <c r="Y69" s="59">
        <v>94.522573272880663</v>
      </c>
      <c r="Z69" s="59">
        <v>65.87756958659179</v>
      </c>
      <c r="AA69" s="233">
        <v>67.871667463112232</v>
      </c>
    </row>
    <row r="70" spans="1:27">
      <c r="A70" s="31" t="s">
        <v>63</v>
      </c>
      <c r="B70" s="3"/>
      <c r="C70" s="232">
        <v>70.066285964628577</v>
      </c>
      <c r="D70" s="59">
        <v>81.696016364769221</v>
      </c>
      <c r="E70" s="59">
        <v>85.152951408121694</v>
      </c>
      <c r="F70" s="233">
        <v>90.357717458322099</v>
      </c>
      <c r="G70" s="59">
        <v>90.657085525798266</v>
      </c>
      <c r="H70" s="59">
        <v>90.865982781893933</v>
      </c>
      <c r="I70" s="59">
        <v>87.474350365317434</v>
      </c>
      <c r="J70" s="59">
        <v>96.983745396716245</v>
      </c>
      <c r="K70" s="59">
        <v>78.608881064352715</v>
      </c>
      <c r="L70" s="59">
        <v>92.256565897334994</v>
      </c>
      <c r="M70" s="59">
        <v>94.830419418302611</v>
      </c>
      <c r="N70" s="59">
        <v>96.963428735156526</v>
      </c>
      <c r="O70" s="59">
        <v>93.621894713972324</v>
      </c>
      <c r="P70" s="59">
        <v>98.928071335301482</v>
      </c>
      <c r="Q70" s="59">
        <v>91.087027687920099</v>
      </c>
      <c r="R70" s="59">
        <v>85.408480133203412</v>
      </c>
      <c r="S70" s="59">
        <v>93.80485706596717</v>
      </c>
      <c r="T70" s="59">
        <v>92.452650575636312</v>
      </c>
      <c r="U70" s="59">
        <v>96.143460498412594</v>
      </c>
      <c r="V70" s="59">
        <v>93.694048688482113</v>
      </c>
      <c r="W70" s="59">
        <v>91.784845983510237</v>
      </c>
      <c r="X70" s="232">
        <v>33.864891227464319</v>
      </c>
      <c r="Y70" s="59">
        <v>89.568580026827362</v>
      </c>
      <c r="Z70" s="59">
        <v>61.995568217790435</v>
      </c>
      <c r="AA70" s="233">
        <v>3.9610599926389098</v>
      </c>
    </row>
    <row r="71" spans="1:27">
      <c r="A71" s="31" t="s">
        <v>154</v>
      </c>
      <c r="B71" s="3"/>
      <c r="C71" s="232">
        <v>54.088615403408049</v>
      </c>
      <c r="D71" s="59">
        <v>0</v>
      </c>
      <c r="E71" s="59">
        <v>90.885710756440247</v>
      </c>
      <c r="F71" s="233">
        <v>65.272480202237034</v>
      </c>
      <c r="G71" s="59">
        <v>92.853520367670015</v>
      </c>
      <c r="H71" s="59">
        <v>97.841692951829273</v>
      </c>
      <c r="I71" s="59">
        <v>87.514125805386087</v>
      </c>
      <c r="J71" s="59">
        <v>92.974123932723458</v>
      </c>
      <c r="K71" s="59">
        <v>82.669460330601467</v>
      </c>
      <c r="L71" s="59">
        <v>92.294166380671911</v>
      </c>
      <c r="M71" s="59">
        <v>94.077245437872207</v>
      </c>
      <c r="N71" s="59">
        <v>95.629341407826487</v>
      </c>
      <c r="O71" s="59">
        <v>93.050636209380329</v>
      </c>
      <c r="P71" s="59">
        <v>91.068931952441645</v>
      </c>
      <c r="Q71" s="59">
        <v>82.374015675995494</v>
      </c>
      <c r="R71" s="59">
        <v>89.710938729310669</v>
      </c>
      <c r="S71" s="59">
        <v>92.318839580912353</v>
      </c>
      <c r="T71" s="59">
        <v>88.653540704486218</v>
      </c>
      <c r="U71" s="59">
        <v>97.165346093464379</v>
      </c>
      <c r="V71" s="59">
        <v>92.674842422339339</v>
      </c>
      <c r="W71" s="59">
        <v>91.676137750687644</v>
      </c>
      <c r="X71" s="232">
        <v>0</v>
      </c>
      <c r="Y71" s="59">
        <v>93.451989026063075</v>
      </c>
      <c r="Z71" s="59">
        <v>34.911705328564899</v>
      </c>
      <c r="AA71" s="233">
        <v>0</v>
      </c>
    </row>
    <row r="72" spans="1:27">
      <c r="A72" s="31" t="s">
        <v>67</v>
      </c>
      <c r="B72" s="3"/>
      <c r="C72" s="232">
        <v>81.22826354198078</v>
      </c>
      <c r="D72" s="59">
        <v>91.023914101275622</v>
      </c>
      <c r="E72" s="59">
        <v>89.394969461738171</v>
      </c>
      <c r="F72" s="233">
        <v>85.000301568806137</v>
      </c>
      <c r="G72" s="59">
        <v>91.693227985752401</v>
      </c>
      <c r="H72" s="59">
        <v>95.720845369758308</v>
      </c>
      <c r="I72" s="59">
        <v>88.60632951620407</v>
      </c>
      <c r="J72" s="59">
        <v>93.138611813845671</v>
      </c>
      <c r="K72" s="59">
        <v>90.349889153238152</v>
      </c>
      <c r="L72" s="59">
        <v>93.144179505778894</v>
      </c>
      <c r="M72" s="59">
        <v>93.644447475440913</v>
      </c>
      <c r="N72" s="59">
        <v>94.327311418895817</v>
      </c>
      <c r="O72" s="59">
        <v>93.60673485754819</v>
      </c>
      <c r="P72" s="59">
        <v>95.54632585809442</v>
      </c>
      <c r="Q72" s="59">
        <v>83.6811478053325</v>
      </c>
      <c r="R72" s="59">
        <v>93.68187843716845</v>
      </c>
      <c r="S72" s="59">
        <v>88.012405737428992</v>
      </c>
      <c r="T72" s="59">
        <v>92.389878634248248</v>
      </c>
      <c r="U72" s="59">
        <v>94.947464161898139</v>
      </c>
      <c r="V72" s="59">
        <v>89.373886440031654</v>
      </c>
      <c r="W72" s="59">
        <v>91.8543055319047</v>
      </c>
      <c r="X72" s="232">
        <v>65.128841850580969</v>
      </c>
      <c r="Y72" s="59">
        <v>0</v>
      </c>
      <c r="Z72" s="59">
        <v>45.31274573081182</v>
      </c>
      <c r="AA72" s="233">
        <v>100</v>
      </c>
    </row>
    <row r="73" spans="1:27">
      <c r="C73" s="192"/>
      <c r="D73" s="84"/>
      <c r="E73" s="84"/>
      <c r="F73" s="23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192"/>
      <c r="Y73" s="84"/>
      <c r="Z73" s="26"/>
      <c r="AA73" s="234"/>
    </row>
    <row r="74" spans="1:27">
      <c r="A74" s="6" t="s">
        <v>64</v>
      </c>
      <c r="C74" s="232">
        <v>76.265253987887945</v>
      </c>
      <c r="D74" s="59">
        <v>98.683943487227893</v>
      </c>
      <c r="E74" s="59">
        <v>86.08756946435561</v>
      </c>
      <c r="F74" s="233">
        <v>82.663982717146197</v>
      </c>
      <c r="G74" s="59">
        <v>87.386190543575069</v>
      </c>
      <c r="H74" s="59">
        <v>94.34629932756441</v>
      </c>
      <c r="I74" s="59">
        <v>83.257048720663889</v>
      </c>
      <c r="J74" s="59">
        <v>88.997978646396007</v>
      </c>
      <c r="K74" s="59">
        <v>83.216197444430335</v>
      </c>
      <c r="L74" s="59">
        <v>87.673728210007255</v>
      </c>
      <c r="M74" s="59">
        <v>88.874029011286339</v>
      </c>
      <c r="N74" s="59">
        <v>88.993990279579577</v>
      </c>
      <c r="O74" s="59">
        <v>89.356480850602608</v>
      </c>
      <c r="P74" s="59">
        <v>86.398028254868677</v>
      </c>
      <c r="Q74" s="59">
        <v>76.158547310485162</v>
      </c>
      <c r="R74" s="59">
        <v>87.820764442902529</v>
      </c>
      <c r="S74" s="59">
        <v>87.284468782230192</v>
      </c>
      <c r="T74" s="59">
        <v>85.819256429267128</v>
      </c>
      <c r="U74" s="59">
        <v>90.934688001813868</v>
      </c>
      <c r="V74" s="59">
        <v>88.116475637442022</v>
      </c>
      <c r="W74" s="59">
        <v>87.473651676059418</v>
      </c>
      <c r="X74" s="232">
        <v>60.66174566174567</v>
      </c>
      <c r="Y74" s="59">
        <v>94.904538341158059</v>
      </c>
      <c r="Z74" s="59">
        <v>65.393034825870643</v>
      </c>
      <c r="AA74" s="233">
        <v>20.250194250194244</v>
      </c>
    </row>
    <row r="75" spans="1:27">
      <c r="A75" s="6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</row>
    <row r="76" spans="1:27">
      <c r="X76" s="84"/>
      <c r="Y76" s="84"/>
      <c r="Z76" s="26"/>
      <c r="AA76" s="84"/>
    </row>
    <row r="77" spans="1:27" ht="18.75">
      <c r="A77" s="9"/>
      <c r="C77" s="230" t="s">
        <v>178</v>
      </c>
      <c r="D77" s="99"/>
      <c r="E77" s="99"/>
      <c r="F77" s="212"/>
      <c r="G77" s="108"/>
      <c r="H77" s="108"/>
      <c r="I77" s="108"/>
      <c r="J77" s="108"/>
      <c r="K77" s="108"/>
      <c r="L77" s="113" t="s">
        <v>172</v>
      </c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31"/>
      <c r="Y77" s="132" t="s">
        <v>175</v>
      </c>
      <c r="Z77" s="133"/>
      <c r="AA77" s="131"/>
    </row>
    <row r="78" spans="1:27" s="9" customFormat="1">
      <c r="C78" s="231" t="s">
        <v>176</v>
      </c>
      <c r="D78" s="99"/>
      <c r="E78" s="104" t="s">
        <v>101</v>
      </c>
      <c r="F78" s="212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31"/>
      <c r="Y78" s="131"/>
      <c r="Z78" s="133"/>
      <c r="AA78" s="131"/>
    </row>
    <row r="79" spans="1:27" s="35" customFormat="1" ht="16.5" thickBot="1">
      <c r="A79" s="71" t="s">
        <v>81</v>
      </c>
      <c r="B79" s="76"/>
      <c r="C79" s="213" t="s">
        <v>99</v>
      </c>
      <c r="D79" s="100" t="s">
        <v>1</v>
      </c>
      <c r="E79" s="101" t="s">
        <v>2</v>
      </c>
      <c r="F79" s="214" t="s">
        <v>3</v>
      </c>
      <c r="G79" s="103" t="s">
        <v>18</v>
      </c>
      <c r="H79" s="103" t="s">
        <v>19</v>
      </c>
      <c r="I79" s="103" t="s">
        <v>20</v>
      </c>
      <c r="J79" s="103" t="s">
        <v>21</v>
      </c>
      <c r="K79" s="103" t="s">
        <v>22</v>
      </c>
      <c r="L79" s="103" t="s">
        <v>23</v>
      </c>
      <c r="M79" s="103" t="s">
        <v>24</v>
      </c>
      <c r="N79" s="103" t="s">
        <v>25</v>
      </c>
      <c r="O79" s="103" t="s">
        <v>26</v>
      </c>
      <c r="P79" s="103" t="s">
        <v>27</v>
      </c>
      <c r="Q79" s="103" t="s">
        <v>28</v>
      </c>
      <c r="R79" s="103" t="s">
        <v>29</v>
      </c>
      <c r="S79" s="103" t="s">
        <v>30</v>
      </c>
      <c r="T79" s="103" t="s">
        <v>31</v>
      </c>
      <c r="U79" s="103" t="s">
        <v>32</v>
      </c>
      <c r="V79" s="103" t="s">
        <v>33</v>
      </c>
      <c r="W79" s="102" t="s">
        <v>17</v>
      </c>
      <c r="X79" s="134" t="s">
        <v>12</v>
      </c>
      <c r="Y79" s="134" t="s">
        <v>13</v>
      </c>
      <c r="Z79" s="134" t="s">
        <v>15</v>
      </c>
      <c r="AA79" s="134" t="s">
        <v>16</v>
      </c>
    </row>
    <row r="80" spans="1:27">
      <c r="A80" s="6" t="s">
        <v>195</v>
      </c>
      <c r="B80" s="29"/>
      <c r="C80" s="191">
        <v>79.198067156009003</v>
      </c>
      <c r="D80" s="26">
        <v>89.117462101968783</v>
      </c>
      <c r="E80" s="26">
        <v>91.113869391570731</v>
      </c>
      <c r="F80" s="207">
        <v>98.721695014502544</v>
      </c>
      <c r="G80" s="26">
        <v>91.179106480383155</v>
      </c>
      <c r="H80" s="26">
        <v>94.93874993174785</v>
      </c>
      <c r="I80" s="26">
        <v>94.911397582016818</v>
      </c>
      <c r="J80" s="26">
        <v>95.904564101910523</v>
      </c>
      <c r="K80" s="26">
        <v>79.219916045906089</v>
      </c>
      <c r="L80" s="26">
        <v>96.891966640367642</v>
      </c>
      <c r="M80" s="26">
        <v>98.645460136653071</v>
      </c>
      <c r="N80" s="26">
        <v>100</v>
      </c>
      <c r="O80" s="26">
        <v>96.801142979373182</v>
      </c>
      <c r="P80" s="26">
        <v>95.490879303889685</v>
      </c>
      <c r="Q80" s="26">
        <v>93.214469193203726</v>
      </c>
      <c r="R80" s="26">
        <v>83.343383100908298</v>
      </c>
      <c r="S80" s="26">
        <v>93.801875524172246</v>
      </c>
      <c r="T80" s="26">
        <v>96.158310225835237</v>
      </c>
      <c r="U80" s="26">
        <v>98.315835785223854</v>
      </c>
      <c r="V80" s="26">
        <v>96.428741847125977</v>
      </c>
      <c r="W80" s="26">
        <v>93.80764596069217</v>
      </c>
      <c r="X80" s="190">
        <v>44.785639595301767</v>
      </c>
      <c r="Y80" s="239">
        <v>93.080824332906033</v>
      </c>
      <c r="Z80" s="239">
        <v>80.999449284692744</v>
      </c>
      <c r="AA80" s="208">
        <v>55.944622533038</v>
      </c>
    </row>
    <row r="81" spans="1:27">
      <c r="A81" s="81" t="s">
        <v>163</v>
      </c>
      <c r="B81" s="29"/>
      <c r="C81" s="191">
        <v>51.545236397753207</v>
      </c>
      <c r="D81" s="26">
        <v>78.591677322958006</v>
      </c>
      <c r="E81" s="26">
        <v>83.037694641973033</v>
      </c>
      <c r="F81" s="207">
        <v>59.067935374274278</v>
      </c>
      <c r="G81" s="26">
        <v>84.22319598037258</v>
      </c>
      <c r="H81" s="26">
        <v>88.817283195362847</v>
      </c>
      <c r="I81" s="26">
        <v>69.869041250410319</v>
      </c>
      <c r="J81" s="26">
        <v>83.481249650857137</v>
      </c>
      <c r="K81" s="26">
        <v>56.478741458378011</v>
      </c>
      <c r="L81" s="26">
        <v>82.13226645383908</v>
      </c>
      <c r="M81" s="26">
        <v>77.808010112330933</v>
      </c>
      <c r="N81" s="26">
        <v>89.734870965000155</v>
      </c>
      <c r="O81" s="26">
        <v>69.422588758865359</v>
      </c>
      <c r="P81" s="26">
        <v>74.569967807995496</v>
      </c>
      <c r="Q81" s="26">
        <v>67.225402536242242</v>
      </c>
      <c r="R81" s="26">
        <v>83.022636439745341</v>
      </c>
      <c r="S81" s="26">
        <v>73.122431993385433</v>
      </c>
      <c r="T81" s="26">
        <v>66.605610466218337</v>
      </c>
      <c r="U81" s="26">
        <v>87.505824441323412</v>
      </c>
      <c r="V81" s="26">
        <v>76.763962459865397</v>
      </c>
      <c r="W81" s="26">
        <v>79.530201803473688</v>
      </c>
      <c r="X81" s="191">
        <v>88.652726420897125</v>
      </c>
      <c r="Y81" s="26">
        <v>84.38299582019016</v>
      </c>
      <c r="Z81" s="26">
        <v>40.946152286551943</v>
      </c>
      <c r="AA81" s="233">
        <v>0</v>
      </c>
    </row>
    <row r="82" spans="1:27">
      <c r="A82" s="81" t="s">
        <v>164</v>
      </c>
      <c r="B82" s="29"/>
      <c r="C82" s="191">
        <v>50.441700855030142</v>
      </c>
      <c r="D82" s="26">
        <v>79.077826785885506</v>
      </c>
      <c r="E82" s="26">
        <v>87.626136926670483</v>
      </c>
      <c r="F82" s="207">
        <v>59.184940548554891</v>
      </c>
      <c r="G82" s="26">
        <v>92.161976071591354</v>
      </c>
      <c r="H82" s="26">
        <v>98.524922078108446</v>
      </c>
      <c r="I82" s="26">
        <v>90.803048946233687</v>
      </c>
      <c r="J82" s="26">
        <v>95.325851242297645</v>
      </c>
      <c r="K82" s="26">
        <v>81.274254648923616</v>
      </c>
      <c r="L82" s="26">
        <v>89.97317337287852</v>
      </c>
      <c r="M82" s="26">
        <v>88.999998849859125</v>
      </c>
      <c r="N82" s="26">
        <v>96.917718669248202</v>
      </c>
      <c r="O82" s="26">
        <v>78.631117956675553</v>
      </c>
      <c r="P82" s="26">
        <v>99.355377532354964</v>
      </c>
      <c r="Q82" s="26">
        <v>82.025529654092949</v>
      </c>
      <c r="R82" s="26">
        <v>92.460958598652198</v>
      </c>
      <c r="S82" s="26">
        <v>88.273365885635656</v>
      </c>
      <c r="T82" s="26">
        <v>77.992543430867372</v>
      </c>
      <c r="U82" s="26">
        <v>94.959538972337626</v>
      </c>
      <c r="V82" s="26">
        <v>86.068901025661887</v>
      </c>
      <c r="W82" s="26">
        <v>90.882351821709733</v>
      </c>
      <c r="X82" s="191">
        <v>71.819582573007537</v>
      </c>
      <c r="Y82" s="26">
        <v>93.77463367119519</v>
      </c>
      <c r="Z82" s="26">
        <v>48.185844935944715</v>
      </c>
      <c r="AA82" s="233">
        <v>0</v>
      </c>
    </row>
    <row r="83" spans="1:27">
      <c r="A83" s="81" t="s">
        <v>165</v>
      </c>
      <c r="B83" s="29"/>
      <c r="C83" s="191">
        <v>39.72323394509209</v>
      </c>
      <c r="D83" s="26">
        <v>83.245397635026961</v>
      </c>
      <c r="E83" s="26">
        <v>80.773717822441895</v>
      </c>
      <c r="F83" s="207">
        <v>53.754313422985426</v>
      </c>
      <c r="G83" s="26">
        <v>81.833052901212156</v>
      </c>
      <c r="H83" s="26">
        <v>90.269323685518316</v>
      </c>
      <c r="I83" s="26">
        <v>68.984304067186841</v>
      </c>
      <c r="J83" s="26">
        <v>82.671080414167477</v>
      </c>
      <c r="K83" s="26">
        <v>57.213345908166566</v>
      </c>
      <c r="L83" s="26">
        <v>78.695784627610024</v>
      </c>
      <c r="M83" s="26">
        <v>76.198034979259432</v>
      </c>
      <c r="N83" s="26">
        <v>86.339458397178859</v>
      </c>
      <c r="O83" s="26">
        <v>67.546520977645756</v>
      </c>
      <c r="P83" s="26">
        <v>85.384401574852475</v>
      </c>
      <c r="Q83" s="26">
        <v>68.479561691631901</v>
      </c>
      <c r="R83" s="26">
        <v>79.862553578290843</v>
      </c>
      <c r="S83" s="26">
        <v>77.241723258519528</v>
      </c>
      <c r="T83" s="26">
        <v>72.307823688571929</v>
      </c>
      <c r="U83" s="26">
        <v>87.995874289017252</v>
      </c>
      <c r="V83" s="26">
        <v>76.11354204965464</v>
      </c>
      <c r="W83" s="26">
        <v>78.486271254111614</v>
      </c>
      <c r="X83" s="191">
        <v>65.811135123075033</v>
      </c>
      <c r="Y83" s="26">
        <v>95.361972033476036</v>
      </c>
      <c r="Z83" s="26">
        <v>55.719695177992939</v>
      </c>
      <c r="AA83" s="207">
        <v>48.648825447758441</v>
      </c>
    </row>
    <row r="84" spans="1:27">
      <c r="A84" s="81" t="s">
        <v>196</v>
      </c>
      <c r="B84" s="29"/>
      <c r="C84" s="191">
        <v>61.305904580442679</v>
      </c>
      <c r="D84" s="26">
        <v>36.811760214378317</v>
      </c>
      <c r="E84" s="26">
        <v>90.783282911376318</v>
      </c>
      <c r="F84" s="207">
        <v>67.121709551010596</v>
      </c>
      <c r="G84" s="26">
        <v>90.520478792632375</v>
      </c>
      <c r="H84" s="26">
        <v>95.856226333629195</v>
      </c>
      <c r="I84" s="26">
        <v>89.879468415539989</v>
      </c>
      <c r="J84" s="26">
        <v>89.240082788183216</v>
      </c>
      <c r="K84" s="26">
        <v>86.444082546222944</v>
      </c>
      <c r="L84" s="26">
        <v>89.866870995709618</v>
      </c>
      <c r="M84" s="26">
        <v>89.650776261844555</v>
      </c>
      <c r="N84" s="26">
        <v>89.701974502229518</v>
      </c>
      <c r="O84" s="26">
        <v>93.274578168914204</v>
      </c>
      <c r="P84" s="26">
        <v>88.374164918895801</v>
      </c>
      <c r="Q84" s="26">
        <v>86.543385930259561</v>
      </c>
      <c r="R84" s="26">
        <v>85.04515343851584</v>
      </c>
      <c r="S84" s="26">
        <v>87.094112854086049</v>
      </c>
      <c r="T84" s="26">
        <v>83.503096261281897</v>
      </c>
      <c r="U84" s="26">
        <v>91.474384881343155</v>
      </c>
      <c r="V84" s="26">
        <v>86.350934361598931</v>
      </c>
      <c r="W84" s="26">
        <v>89.256364086712935</v>
      </c>
      <c r="X84" s="191">
        <v>32.913600720633546</v>
      </c>
      <c r="Y84" s="26">
        <v>93.339881261364511</v>
      </c>
      <c r="Z84" s="26">
        <v>95.022279453556465</v>
      </c>
      <c r="AA84" s="207">
        <v>130.3199127620635</v>
      </c>
    </row>
    <row r="85" spans="1:27">
      <c r="A85" s="81" t="s">
        <v>197</v>
      </c>
      <c r="B85" s="29"/>
      <c r="C85" s="191">
        <v>57.139408626630008</v>
      </c>
      <c r="D85" s="26">
        <v>45.494755856944238</v>
      </c>
      <c r="E85" s="26">
        <v>85.743494003397657</v>
      </c>
      <c r="F85" s="207">
        <v>66.307568326167697</v>
      </c>
      <c r="G85" s="26">
        <v>85.172357982460937</v>
      </c>
      <c r="H85" s="26">
        <v>91.643533018974423</v>
      </c>
      <c r="I85" s="26">
        <v>83.343359676799807</v>
      </c>
      <c r="J85" s="26">
        <v>86.703111079167783</v>
      </c>
      <c r="K85" s="26">
        <v>81.032134108710565</v>
      </c>
      <c r="L85" s="26">
        <v>85.649789990819116</v>
      </c>
      <c r="M85" s="26">
        <v>85.475692006671622</v>
      </c>
      <c r="N85" s="26">
        <v>84.662947546817307</v>
      </c>
      <c r="O85" s="26">
        <v>88.121582741183772</v>
      </c>
      <c r="P85" s="26">
        <v>78.653521561798726</v>
      </c>
      <c r="Q85" s="26">
        <v>81.302451080608094</v>
      </c>
      <c r="R85" s="26">
        <v>83.662457996423086</v>
      </c>
      <c r="S85" s="26">
        <v>83.909931109143244</v>
      </c>
      <c r="T85" s="26">
        <v>79.223891814265897</v>
      </c>
      <c r="U85" s="26">
        <v>88.119526695114743</v>
      </c>
      <c r="V85" s="26">
        <v>82.728453606853819</v>
      </c>
      <c r="W85" s="26">
        <v>85.063801432381084</v>
      </c>
      <c r="X85" s="191">
        <v>18.812627912060986</v>
      </c>
      <c r="Y85" s="26">
        <v>94.500931961577052</v>
      </c>
      <c r="Z85" s="26">
        <v>66.683121722785316</v>
      </c>
      <c r="AA85" s="207">
        <v>87.31078629221031</v>
      </c>
    </row>
    <row r="86" spans="1:27">
      <c r="A86" s="81" t="s">
        <v>198</v>
      </c>
      <c r="B86" s="29"/>
      <c r="C86" s="191">
        <v>69.866327617392969</v>
      </c>
      <c r="D86" s="26">
        <v>100</v>
      </c>
      <c r="E86" s="26">
        <v>95.527387290146081</v>
      </c>
      <c r="F86" s="207">
        <v>75.433130112100329</v>
      </c>
      <c r="G86" s="26">
        <v>97.536333995510219</v>
      </c>
      <c r="H86" s="26">
        <v>98.841539632635772</v>
      </c>
      <c r="I86" s="26">
        <v>92.367266149898072</v>
      </c>
      <c r="J86" s="26">
        <v>96.237132580050329</v>
      </c>
      <c r="K86" s="26">
        <v>93.565356820025158</v>
      </c>
      <c r="L86" s="26">
        <v>96.621920994600373</v>
      </c>
      <c r="M86" s="26">
        <v>96.938724147261908</v>
      </c>
      <c r="N86" s="26">
        <v>96.792476142326606</v>
      </c>
      <c r="O86" s="26">
        <v>96.852444149228418</v>
      </c>
      <c r="P86" s="26">
        <v>100</v>
      </c>
      <c r="Q86" s="26">
        <v>89.846977721939467</v>
      </c>
      <c r="R86" s="26">
        <v>94.186802167851397</v>
      </c>
      <c r="S86" s="26">
        <v>96.220575112247374</v>
      </c>
      <c r="T86" s="26">
        <v>93.009662967026543</v>
      </c>
      <c r="U86" s="26">
        <v>98.555739635611076</v>
      </c>
      <c r="V86" s="26">
        <v>95.55489698922122</v>
      </c>
      <c r="W86" s="26">
        <v>95.650255238709917</v>
      </c>
      <c r="X86" s="191">
        <v>32.533897010639294</v>
      </c>
      <c r="Y86" s="26">
        <v>95.425682452186393</v>
      </c>
      <c r="Z86" s="26">
        <v>73.364849211896413</v>
      </c>
      <c r="AA86" s="207">
        <v>79.493289100199377</v>
      </c>
    </row>
    <row r="87" spans="1:27">
      <c r="A87" s="88" t="s">
        <v>199</v>
      </c>
      <c r="B87" s="29"/>
      <c r="C87" s="191">
        <v>29.517372123297402</v>
      </c>
      <c r="D87" s="26">
        <v>76.044939817265956</v>
      </c>
      <c r="E87" s="26">
        <v>77.098667678721483</v>
      </c>
      <c r="F87" s="207">
        <v>72</v>
      </c>
      <c r="G87" s="26">
        <v>77.679961579319411</v>
      </c>
      <c r="H87" s="26">
        <v>90.55490821614508</v>
      </c>
      <c r="I87" s="26">
        <v>74.961372907775356</v>
      </c>
      <c r="J87" s="26">
        <v>83.354525174022385</v>
      </c>
      <c r="K87" s="26">
        <v>69.747082424826502</v>
      </c>
      <c r="L87" s="26">
        <v>80.653093147411326</v>
      </c>
      <c r="M87" s="26">
        <v>82.769533858704364</v>
      </c>
      <c r="N87" s="26">
        <v>78.783398840261654</v>
      </c>
      <c r="O87" s="26">
        <v>85.686896231159906</v>
      </c>
      <c r="P87" s="26">
        <v>76.429978460665311</v>
      </c>
      <c r="Q87" s="26">
        <v>66.514878891867426</v>
      </c>
      <c r="R87" s="26">
        <v>76.309634649400422</v>
      </c>
      <c r="S87" s="26">
        <v>81.653253822687176</v>
      </c>
      <c r="T87" s="26">
        <v>73.893841899774458</v>
      </c>
      <c r="U87" s="26">
        <v>85.295339494729134</v>
      </c>
      <c r="V87" s="26">
        <v>79.756112996140516</v>
      </c>
      <c r="W87" s="26">
        <v>79.748413910670749</v>
      </c>
      <c r="X87" s="191">
        <v>5.0996261240785712</v>
      </c>
      <c r="Y87" s="26">
        <v>94.023582084936905</v>
      </c>
      <c r="Z87" s="26">
        <v>34.197612171109625</v>
      </c>
      <c r="AA87" s="233">
        <v>0</v>
      </c>
    </row>
    <row r="88" spans="1:27">
      <c r="A88" s="40" t="s">
        <v>65</v>
      </c>
      <c r="B88" s="29"/>
      <c r="C88" s="191">
        <v>53.224442408784682</v>
      </c>
      <c r="D88" s="26">
        <v>70.404862988094564</v>
      </c>
      <c r="E88" s="26">
        <v>90.413713290793126</v>
      </c>
      <c r="F88" s="207">
        <v>66.73757398106595</v>
      </c>
      <c r="G88" s="26">
        <v>93.428172651031545</v>
      </c>
      <c r="H88" s="26">
        <v>98.72857499148607</v>
      </c>
      <c r="I88" s="26">
        <v>83.825178840331674</v>
      </c>
      <c r="J88" s="26">
        <v>92.755543484180919</v>
      </c>
      <c r="K88" s="26">
        <v>84.102846590901976</v>
      </c>
      <c r="L88" s="26">
        <v>91.900578380612956</v>
      </c>
      <c r="M88" s="26">
        <v>94.406396010475945</v>
      </c>
      <c r="N88" s="26">
        <v>95.501723498701224</v>
      </c>
      <c r="O88" s="26">
        <v>93.566354421801933</v>
      </c>
      <c r="P88" s="26">
        <v>96.881097417650267</v>
      </c>
      <c r="Q88" s="26">
        <v>86.258456458701403</v>
      </c>
      <c r="R88" s="26">
        <v>91.062948648618928</v>
      </c>
      <c r="S88" s="26">
        <v>93.196143668966329</v>
      </c>
      <c r="T88" s="26">
        <v>88.0827784510481</v>
      </c>
      <c r="U88" s="26">
        <v>97.955519257980043</v>
      </c>
      <c r="V88" s="26">
        <v>92.773949285714721</v>
      </c>
      <c r="W88" s="26">
        <v>91.832755361288932</v>
      </c>
      <c r="X88" s="191">
        <v>28.914774356568092</v>
      </c>
      <c r="Y88" s="26">
        <v>95.042534667903396</v>
      </c>
      <c r="Z88" s="26">
        <v>69.862591406416712</v>
      </c>
      <c r="AA88" s="207">
        <v>52.378561826568706</v>
      </c>
    </row>
    <row r="89" spans="1:27">
      <c r="C89" s="192"/>
      <c r="D89" s="84"/>
      <c r="E89" s="84"/>
      <c r="F89" s="23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192"/>
      <c r="Y89" s="84"/>
      <c r="Z89" s="26"/>
      <c r="AA89" s="234"/>
    </row>
    <row r="90" spans="1:27">
      <c r="A90" s="6" t="s">
        <v>64</v>
      </c>
      <c r="C90" s="191">
        <v>75.86756437255346</v>
      </c>
      <c r="D90" s="26">
        <v>94.923526425445786</v>
      </c>
      <c r="E90" s="26">
        <v>83.356474641586786</v>
      </c>
      <c r="F90" s="207">
        <v>79.789174254531673</v>
      </c>
      <c r="G90" s="26">
        <v>85.455922296716508</v>
      </c>
      <c r="H90" s="26">
        <v>91.423740710156892</v>
      </c>
      <c r="I90" s="26">
        <v>78.019339164237124</v>
      </c>
      <c r="J90" s="26">
        <v>88.716084533465775</v>
      </c>
      <c r="K90" s="26">
        <v>80.085913452833594</v>
      </c>
      <c r="L90" s="26">
        <v>85.093386243386249</v>
      </c>
      <c r="M90" s="26">
        <v>85.799879139473049</v>
      </c>
      <c r="N90" s="26">
        <v>86.629221781305105</v>
      </c>
      <c r="O90" s="26">
        <v>86.475958188153299</v>
      </c>
      <c r="P90" s="26">
        <v>85.27378547378548</v>
      </c>
      <c r="Q90" s="26">
        <v>74.212876190476194</v>
      </c>
      <c r="R90" s="26">
        <v>85.655341880341879</v>
      </c>
      <c r="S90" s="26">
        <v>85.465991751031126</v>
      </c>
      <c r="T90" s="26">
        <v>82.208776844070954</v>
      </c>
      <c r="U90" s="26">
        <v>88.429621489621482</v>
      </c>
      <c r="V90" s="26">
        <v>85.421195542046618</v>
      </c>
      <c r="W90" s="26">
        <v>85.044983265683967</v>
      </c>
      <c r="X90" s="191">
        <v>46.576623376623367</v>
      </c>
      <c r="Y90" s="26">
        <v>94.291353383458656</v>
      </c>
      <c r="Z90" s="26">
        <v>59.835222978080118</v>
      </c>
      <c r="AA90" s="207">
        <v>7.6904761904761711</v>
      </c>
    </row>
    <row r="91" spans="1:27">
      <c r="A91" s="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</row>
    <row r="92" spans="1:27">
      <c r="A92" s="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</row>
    <row r="93" spans="1:27">
      <c r="A93" s="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</row>
    <row r="94" spans="1:27">
      <c r="X94" s="84"/>
      <c r="Y94" s="84"/>
      <c r="Z94" s="26"/>
      <c r="AA94" s="84"/>
    </row>
    <row r="95" spans="1:27" ht="18.75">
      <c r="C95" s="230" t="s">
        <v>178</v>
      </c>
      <c r="D95" s="99"/>
      <c r="E95" s="99"/>
      <c r="F95" s="212"/>
      <c r="G95" s="108"/>
      <c r="H95" s="108"/>
      <c r="I95" s="108"/>
      <c r="J95" s="108"/>
      <c r="K95" s="108"/>
      <c r="L95" s="113" t="s">
        <v>172</v>
      </c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235"/>
      <c r="Y95" s="132" t="s">
        <v>175</v>
      </c>
      <c r="Z95" s="133"/>
      <c r="AA95" s="236"/>
    </row>
    <row r="96" spans="1:27">
      <c r="C96" s="231" t="s">
        <v>176</v>
      </c>
      <c r="D96" s="99"/>
      <c r="E96" s="104" t="s">
        <v>101</v>
      </c>
      <c r="F96" s="212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235"/>
      <c r="Y96" s="131"/>
      <c r="Z96" s="133"/>
      <c r="AA96" s="236"/>
    </row>
    <row r="97" spans="1:27" s="35" customFormat="1" ht="16.5" thickBot="1">
      <c r="A97" s="71" t="s">
        <v>157</v>
      </c>
      <c r="C97" s="213" t="s">
        <v>99</v>
      </c>
      <c r="D97" s="100" t="s">
        <v>1</v>
      </c>
      <c r="E97" s="101" t="s">
        <v>2</v>
      </c>
      <c r="F97" s="214" t="s">
        <v>3</v>
      </c>
      <c r="G97" s="103" t="s">
        <v>18</v>
      </c>
      <c r="H97" s="103" t="s">
        <v>19</v>
      </c>
      <c r="I97" s="103" t="s">
        <v>20</v>
      </c>
      <c r="J97" s="103" t="s">
        <v>21</v>
      </c>
      <c r="K97" s="103" t="s">
        <v>22</v>
      </c>
      <c r="L97" s="103" t="s">
        <v>23</v>
      </c>
      <c r="M97" s="103" t="s">
        <v>24</v>
      </c>
      <c r="N97" s="103" t="s">
        <v>25</v>
      </c>
      <c r="O97" s="103" t="s">
        <v>26</v>
      </c>
      <c r="P97" s="103" t="s">
        <v>27</v>
      </c>
      <c r="Q97" s="103" t="s">
        <v>28</v>
      </c>
      <c r="R97" s="103" t="s">
        <v>29</v>
      </c>
      <c r="S97" s="103" t="s">
        <v>30</v>
      </c>
      <c r="T97" s="103" t="s">
        <v>31</v>
      </c>
      <c r="U97" s="103" t="s">
        <v>32</v>
      </c>
      <c r="V97" s="103" t="s">
        <v>33</v>
      </c>
      <c r="W97" s="102" t="s">
        <v>17</v>
      </c>
      <c r="X97" s="237" t="s">
        <v>12</v>
      </c>
      <c r="Y97" s="134" t="s">
        <v>13</v>
      </c>
      <c r="Z97" s="134" t="s">
        <v>15</v>
      </c>
      <c r="AA97" s="238" t="s">
        <v>16</v>
      </c>
    </row>
    <row r="98" spans="1:27">
      <c r="A98" s="6" t="s">
        <v>195</v>
      </c>
      <c r="B98" s="3"/>
      <c r="C98" s="232">
        <v>84.626938878146134</v>
      </c>
      <c r="D98" s="59">
        <v>100</v>
      </c>
      <c r="E98" s="59">
        <v>84.948837288785626</v>
      </c>
      <c r="F98" s="233">
        <v>100</v>
      </c>
      <c r="G98" s="59">
        <v>89.035203406972983</v>
      </c>
      <c r="H98" s="59">
        <v>89.085551369189702</v>
      </c>
      <c r="I98" s="59">
        <v>87.605780508693087</v>
      </c>
      <c r="J98" s="59">
        <v>98.11458737860066</v>
      </c>
      <c r="K98" s="59">
        <v>69.022847385762034</v>
      </c>
      <c r="L98" s="59">
        <v>92.445706169293942</v>
      </c>
      <c r="M98" s="59">
        <v>96.690944011500505</v>
      </c>
      <c r="N98" s="59">
        <v>100</v>
      </c>
      <c r="O98" s="59">
        <v>91.398670279939211</v>
      </c>
      <c r="P98" s="59">
        <v>92.165911255275788</v>
      </c>
      <c r="Q98" s="59">
        <v>92.259243390557188</v>
      </c>
      <c r="R98" s="59">
        <v>87.652132696599168</v>
      </c>
      <c r="S98" s="59">
        <v>92.329233335562648</v>
      </c>
      <c r="T98" s="59">
        <v>92.823398516414883</v>
      </c>
      <c r="U98" s="59">
        <v>96.95864794515245</v>
      </c>
      <c r="V98" s="59">
        <v>94.281641479347556</v>
      </c>
      <c r="W98" s="59">
        <v>91.438599540592392</v>
      </c>
      <c r="X98" s="232">
        <v>37.831682706127118</v>
      </c>
      <c r="Y98" s="59">
        <v>94.070745665672803</v>
      </c>
      <c r="Z98" s="59">
        <v>75.209194440289153</v>
      </c>
      <c r="AA98" s="233">
        <v>0</v>
      </c>
    </row>
    <row r="99" spans="1:27">
      <c r="A99" s="43" t="s">
        <v>200</v>
      </c>
      <c r="B99" s="3"/>
      <c r="C99" s="232">
        <v>70.860284490296294</v>
      </c>
      <c r="D99" s="59">
        <v>100</v>
      </c>
      <c r="E99" s="59">
        <v>83.250606659763392</v>
      </c>
      <c r="F99" s="233">
        <v>75.643568595903062</v>
      </c>
      <c r="G99" s="59">
        <v>80.673042931770908</v>
      </c>
      <c r="H99" s="59">
        <v>96.012512692938273</v>
      </c>
      <c r="I99" s="59">
        <v>76.203687909763673</v>
      </c>
      <c r="J99" s="59">
        <v>63.518063569280919</v>
      </c>
      <c r="K99" s="59">
        <v>78.750842787302702</v>
      </c>
      <c r="L99" s="59">
        <v>90.897382154076652</v>
      </c>
      <c r="M99" s="59">
        <v>87.222425503640366</v>
      </c>
      <c r="N99" s="59">
        <v>86.788244633559671</v>
      </c>
      <c r="O99" s="59">
        <v>86.522020693612376</v>
      </c>
      <c r="P99" s="59">
        <v>76.115083030207231</v>
      </c>
      <c r="Q99" s="59">
        <v>73.933369049178793</v>
      </c>
      <c r="R99" s="59">
        <v>79.918183650477161</v>
      </c>
      <c r="S99" s="59">
        <v>78.293281998364378</v>
      </c>
      <c r="T99" s="59">
        <v>81.554247750601292</v>
      </c>
      <c r="U99" s="59">
        <v>90.035816738782387</v>
      </c>
      <c r="V99" s="59">
        <v>85.955538863536745</v>
      </c>
      <c r="W99" s="59">
        <v>81.422485915116411</v>
      </c>
      <c r="X99" s="232">
        <v>100</v>
      </c>
      <c r="Y99" s="59">
        <v>98.862915488844919</v>
      </c>
      <c r="Z99" s="59">
        <v>63.770817052948622</v>
      </c>
      <c r="AA99" s="233">
        <v>100</v>
      </c>
    </row>
    <row r="100" spans="1:27">
      <c r="A100" s="43" t="s">
        <v>201</v>
      </c>
      <c r="B100" s="3"/>
      <c r="C100" s="232">
        <v>79.710062900396366</v>
      </c>
      <c r="D100" s="59">
        <v>100</v>
      </c>
      <c r="E100" s="59">
        <v>79.016904012703947</v>
      </c>
      <c r="F100" s="233">
        <v>80.299985230679098</v>
      </c>
      <c r="G100" s="59">
        <v>72.962286151460034</v>
      </c>
      <c r="H100" s="59">
        <v>88.276964597082511</v>
      </c>
      <c r="I100" s="59">
        <v>86.727059844639484</v>
      </c>
      <c r="J100" s="59">
        <v>84.029860777041463</v>
      </c>
      <c r="K100" s="59">
        <v>85.34626124994729</v>
      </c>
      <c r="L100" s="59">
        <v>87.6525650056942</v>
      </c>
      <c r="M100" s="59">
        <v>72.57448359099088</v>
      </c>
      <c r="N100" s="59">
        <v>46.297683513704818</v>
      </c>
      <c r="O100" s="59">
        <v>88.567821673749052</v>
      </c>
      <c r="P100" s="59">
        <v>63.44922246131614</v>
      </c>
      <c r="Q100" s="59">
        <v>76.071937110676387</v>
      </c>
      <c r="R100" s="59">
        <v>92.270644923283882</v>
      </c>
      <c r="S100" s="59">
        <v>78.775729822048675</v>
      </c>
      <c r="T100" s="59">
        <v>80.041149564596822</v>
      </c>
      <c r="U100" s="59">
        <v>70.78359651759142</v>
      </c>
      <c r="V100" s="59">
        <v>77.153748486128535</v>
      </c>
      <c r="W100" s="59">
        <v>81.117191027180482</v>
      </c>
      <c r="X100" s="232">
        <v>85.771612827250678</v>
      </c>
      <c r="Y100" s="59">
        <v>98.337697421632527</v>
      </c>
      <c r="Z100" s="59">
        <v>65.179503911003252</v>
      </c>
      <c r="AA100" s="233">
        <v>25.711872072055154</v>
      </c>
    </row>
    <row r="101" spans="1:27">
      <c r="A101" s="43" t="s">
        <v>156</v>
      </c>
      <c r="B101" s="3"/>
      <c r="C101" s="232">
        <v>36.272535165631318</v>
      </c>
      <c r="D101" s="59">
        <v>0</v>
      </c>
      <c r="E101" s="59">
        <v>20.803747533815539</v>
      </c>
      <c r="F101" s="233">
        <v>29.313392987870625</v>
      </c>
      <c r="G101" s="59">
        <v>68.079428155243406</v>
      </c>
      <c r="H101" s="59">
        <v>60.73069127881525</v>
      </c>
      <c r="I101" s="59">
        <v>63.066271481727824</v>
      </c>
      <c r="J101" s="59">
        <v>83.559760123114671</v>
      </c>
      <c r="K101" s="59">
        <v>52.931801886461834</v>
      </c>
      <c r="L101" s="59">
        <v>59.391508979364858</v>
      </c>
      <c r="M101" s="59">
        <v>57.229537144996989</v>
      </c>
      <c r="N101" s="59">
        <v>75.030556925171268</v>
      </c>
      <c r="O101" s="59">
        <v>50.814294288953228</v>
      </c>
      <c r="P101" s="59">
        <v>54.516671631894489</v>
      </c>
      <c r="Q101" s="59">
        <v>58.936192341787546</v>
      </c>
      <c r="R101" s="59">
        <v>83.361509404954234</v>
      </c>
      <c r="S101" s="59">
        <v>65.100867423581619</v>
      </c>
      <c r="T101" s="59">
        <v>58.996477198036665</v>
      </c>
      <c r="U101" s="59">
        <v>60.404685757273789</v>
      </c>
      <c r="V101" s="59">
        <v>58.538975924080297</v>
      </c>
      <c r="W101" s="59">
        <v>64.816269024968804</v>
      </c>
      <c r="X101" s="232">
        <v>78.915620997753521</v>
      </c>
      <c r="Y101" s="59">
        <v>64.01229096014022</v>
      </c>
      <c r="Z101" s="59">
        <v>9.1149784947337782</v>
      </c>
      <c r="AA101" s="233">
        <v>56.924834398759494</v>
      </c>
    </row>
    <row r="102" spans="1:27">
      <c r="A102" s="31" t="s">
        <v>72</v>
      </c>
      <c r="B102" s="3"/>
      <c r="C102" s="232">
        <v>71.415026509866223</v>
      </c>
      <c r="D102" s="59">
        <v>71.506003737612303</v>
      </c>
      <c r="E102" s="59">
        <v>74.308170803356333</v>
      </c>
      <c r="F102" s="233">
        <v>64.009769001587429</v>
      </c>
      <c r="G102" s="59">
        <v>82.014226195473498</v>
      </c>
      <c r="H102" s="59">
        <v>91.342728316961711</v>
      </c>
      <c r="I102" s="59">
        <v>81.176627947628901</v>
      </c>
      <c r="J102" s="59">
        <v>75.614670389243443</v>
      </c>
      <c r="K102" s="59">
        <v>74.777194789520863</v>
      </c>
      <c r="L102" s="59">
        <v>82.200963293477898</v>
      </c>
      <c r="M102" s="59">
        <v>85.124027199745839</v>
      </c>
      <c r="N102" s="59">
        <v>81.736516501927909</v>
      </c>
      <c r="O102" s="59">
        <v>82.172850297069076</v>
      </c>
      <c r="P102" s="59">
        <v>80.873278220983778</v>
      </c>
      <c r="Q102" s="59">
        <v>72.903139684368156</v>
      </c>
      <c r="R102" s="59">
        <v>75.071282881237636</v>
      </c>
      <c r="S102" s="59">
        <v>74.439465895829599</v>
      </c>
      <c r="T102" s="59">
        <v>77.750926250611727</v>
      </c>
      <c r="U102" s="59">
        <v>84.714579489133044</v>
      </c>
      <c r="V102" s="59">
        <v>82.56903807952942</v>
      </c>
      <c r="W102" s="59">
        <v>80.253392817664334</v>
      </c>
      <c r="X102" s="232">
        <v>77.659290780354908</v>
      </c>
      <c r="Y102" s="59">
        <v>93.12258007995429</v>
      </c>
      <c r="Z102" s="59">
        <v>54.741829909975671</v>
      </c>
      <c r="AA102" s="233">
        <v>26.330512306940957</v>
      </c>
    </row>
    <row r="103" spans="1:27">
      <c r="C103" s="192"/>
      <c r="D103" s="84"/>
      <c r="E103" s="84"/>
      <c r="F103" s="234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192"/>
      <c r="Y103" s="84"/>
      <c r="Z103" s="26"/>
      <c r="AA103" s="234"/>
    </row>
    <row r="104" spans="1:27">
      <c r="A104" s="6" t="s">
        <v>102</v>
      </c>
      <c r="C104" s="232">
        <v>63.695785766538336</v>
      </c>
      <c r="D104" s="59">
        <v>90.342560918275396</v>
      </c>
      <c r="E104" s="59">
        <v>87.290631130972244</v>
      </c>
      <c r="F104" s="233">
        <v>73.67704900418687</v>
      </c>
      <c r="G104" s="59">
        <v>86.365709641571698</v>
      </c>
      <c r="H104" s="59">
        <v>93.669696969696972</v>
      </c>
      <c r="I104" s="59">
        <v>82.938041918980332</v>
      </c>
      <c r="J104" s="59">
        <v>91.171944095331185</v>
      </c>
      <c r="K104" s="59">
        <v>85.231562137049949</v>
      </c>
      <c r="L104" s="59">
        <v>88.384768152809386</v>
      </c>
      <c r="M104" s="59">
        <v>88.121530070682624</v>
      </c>
      <c r="N104" s="59">
        <v>86.895231961021423</v>
      </c>
      <c r="O104" s="59">
        <v>89.856947563714471</v>
      </c>
      <c r="P104" s="59">
        <v>89.297818409660522</v>
      </c>
      <c r="Q104" s="59">
        <v>84.292943221514648</v>
      </c>
      <c r="R104" s="59">
        <v>88.095238095238116</v>
      </c>
      <c r="S104" s="59">
        <v>88.230519480519476</v>
      </c>
      <c r="T104" s="59">
        <v>83.570352649300034</v>
      </c>
      <c r="U104" s="59">
        <v>90.798454845484557</v>
      </c>
      <c r="V104" s="59">
        <v>87.468762298307752</v>
      </c>
      <c r="W104" s="59">
        <v>88.224300853666975</v>
      </c>
      <c r="X104" s="232">
        <v>49.194324194324203</v>
      </c>
      <c r="Y104" s="59">
        <v>93.726719017416698</v>
      </c>
      <c r="Z104" s="59">
        <v>63.096662109820016</v>
      </c>
      <c r="AA104" s="233">
        <v>28.696303696303698</v>
      </c>
    </row>
    <row r="105" spans="1:27">
      <c r="A105" s="6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</row>
    <row r="106" spans="1:27">
      <c r="X106" s="84"/>
      <c r="Y106" s="84"/>
      <c r="Z106" s="26"/>
      <c r="AA106" s="84"/>
    </row>
    <row r="107" spans="1:27" ht="18.75">
      <c r="C107" s="230" t="s">
        <v>178</v>
      </c>
      <c r="D107" s="99"/>
      <c r="E107" s="99"/>
      <c r="F107" s="212"/>
      <c r="G107" s="108"/>
      <c r="H107" s="108"/>
      <c r="I107" s="108"/>
      <c r="J107" s="108"/>
      <c r="K107" s="108"/>
      <c r="L107" s="113" t="s">
        <v>172</v>
      </c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235"/>
      <c r="Y107" s="132" t="s">
        <v>175</v>
      </c>
      <c r="Z107" s="133"/>
      <c r="AA107" s="236"/>
    </row>
    <row r="108" spans="1:27">
      <c r="C108" s="231" t="s">
        <v>176</v>
      </c>
      <c r="D108" s="99"/>
      <c r="E108" s="104" t="s">
        <v>101</v>
      </c>
      <c r="F108" s="212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235"/>
      <c r="Y108" s="131"/>
      <c r="Z108" s="133"/>
      <c r="AA108" s="236"/>
    </row>
    <row r="109" spans="1:27" s="35" customFormat="1" ht="16.5" thickBot="1">
      <c r="A109" s="71" t="s">
        <v>83</v>
      </c>
      <c r="B109" s="75"/>
      <c r="C109" s="213" t="s">
        <v>99</v>
      </c>
      <c r="D109" s="100" t="s">
        <v>1</v>
      </c>
      <c r="E109" s="101" t="s">
        <v>2</v>
      </c>
      <c r="F109" s="214" t="s">
        <v>3</v>
      </c>
      <c r="G109" s="103" t="s">
        <v>18</v>
      </c>
      <c r="H109" s="103" t="s">
        <v>19</v>
      </c>
      <c r="I109" s="103" t="s">
        <v>20</v>
      </c>
      <c r="J109" s="103" t="s">
        <v>21</v>
      </c>
      <c r="K109" s="103" t="s">
        <v>22</v>
      </c>
      <c r="L109" s="103" t="s">
        <v>23</v>
      </c>
      <c r="M109" s="103" t="s">
        <v>24</v>
      </c>
      <c r="N109" s="103" t="s">
        <v>25</v>
      </c>
      <c r="O109" s="103" t="s">
        <v>26</v>
      </c>
      <c r="P109" s="103" t="s">
        <v>27</v>
      </c>
      <c r="Q109" s="103" t="s">
        <v>28</v>
      </c>
      <c r="R109" s="103" t="s">
        <v>29</v>
      </c>
      <c r="S109" s="103" t="s">
        <v>30</v>
      </c>
      <c r="T109" s="103" t="s">
        <v>31</v>
      </c>
      <c r="U109" s="103" t="s">
        <v>32</v>
      </c>
      <c r="V109" s="103" t="s">
        <v>33</v>
      </c>
      <c r="W109" s="102" t="s">
        <v>17</v>
      </c>
      <c r="X109" s="237" t="s">
        <v>12</v>
      </c>
      <c r="Y109" s="134" t="s">
        <v>13</v>
      </c>
      <c r="Z109" s="134" t="s">
        <v>15</v>
      </c>
      <c r="AA109" s="238" t="s">
        <v>16</v>
      </c>
    </row>
    <row r="110" spans="1:27">
      <c r="A110" s="6" t="s">
        <v>195</v>
      </c>
      <c r="B110" s="39"/>
      <c r="C110" s="191">
        <v>76.827934458895911</v>
      </c>
      <c r="D110" s="26">
        <v>100</v>
      </c>
      <c r="E110" s="26">
        <v>82.256442645806601</v>
      </c>
      <c r="F110" s="207">
        <v>89.988643206954279</v>
      </c>
      <c r="G110" s="26">
        <v>86.78978905720686</v>
      </c>
      <c r="H110" s="26">
        <v>90.85586323659679</v>
      </c>
      <c r="I110" s="26">
        <v>80.393547102218889</v>
      </c>
      <c r="J110" s="26">
        <v>90.082852722910118</v>
      </c>
      <c r="K110" s="26">
        <v>73.11607204038755</v>
      </c>
      <c r="L110" s="26">
        <v>86.879983651542304</v>
      </c>
      <c r="M110" s="26">
        <v>90.631959782167243</v>
      </c>
      <c r="N110" s="26">
        <v>91.679525249202086</v>
      </c>
      <c r="O110" s="26">
        <v>89.928974638508066</v>
      </c>
      <c r="P110" s="26">
        <v>93.186674438005682</v>
      </c>
      <c r="Q110" s="26">
        <v>81.48546922184191</v>
      </c>
      <c r="R110" s="26">
        <v>82.886148067233009</v>
      </c>
      <c r="S110" s="26">
        <v>86.407643471969365</v>
      </c>
      <c r="T110" s="26">
        <v>87.846706378547381</v>
      </c>
      <c r="U110" s="26">
        <v>92.142242409260589</v>
      </c>
      <c r="V110" s="26">
        <v>89.287366733973656</v>
      </c>
      <c r="W110" s="26">
        <v>86.69392457951308</v>
      </c>
      <c r="X110" s="191">
        <v>58.680227279960555</v>
      </c>
      <c r="Y110" s="59">
        <v>100</v>
      </c>
      <c r="Z110" s="26">
        <v>83.289322582440448</v>
      </c>
      <c r="AA110" s="207">
        <v>24.142526529018685</v>
      </c>
    </row>
    <row r="111" spans="1:27">
      <c r="A111" s="80" t="s">
        <v>162</v>
      </c>
      <c r="B111" s="39"/>
      <c r="C111" s="191">
        <v>69.40779254049032</v>
      </c>
      <c r="D111" s="26">
        <v>100</v>
      </c>
      <c r="E111" s="26">
        <v>81.088618967943702</v>
      </c>
      <c r="F111" s="207">
        <v>74.481462899267839</v>
      </c>
      <c r="G111" s="26">
        <v>86.540106999760567</v>
      </c>
      <c r="H111" s="26">
        <v>90.135240261998931</v>
      </c>
      <c r="I111" s="26">
        <v>81.767812255341511</v>
      </c>
      <c r="J111" s="26">
        <v>89.810942972704709</v>
      </c>
      <c r="K111" s="26">
        <v>77.853372384356916</v>
      </c>
      <c r="L111" s="26">
        <v>85.45143039164617</v>
      </c>
      <c r="M111" s="26">
        <v>83.904596210679472</v>
      </c>
      <c r="N111" s="26">
        <v>87.859498425728873</v>
      </c>
      <c r="O111" s="26">
        <v>85.06360286319206</v>
      </c>
      <c r="P111" s="26">
        <v>94.023443240930746</v>
      </c>
      <c r="Q111" s="26">
        <v>69.392255518219713</v>
      </c>
      <c r="R111" s="26">
        <v>82.34038941582584</v>
      </c>
      <c r="S111" s="26">
        <v>83.469515137820551</v>
      </c>
      <c r="T111" s="26">
        <v>80.954468858184242</v>
      </c>
      <c r="U111" s="26">
        <v>91.661272097020898</v>
      </c>
      <c r="V111" s="26">
        <v>83.547055978236642</v>
      </c>
      <c r="W111" s="26">
        <v>84.96888021239873</v>
      </c>
      <c r="X111" s="191">
        <v>82.244902189704376</v>
      </c>
      <c r="Y111" s="59">
        <v>100</v>
      </c>
      <c r="Z111" s="26">
        <v>64.89978193798386</v>
      </c>
      <c r="AA111" s="207">
        <v>39.413667627252075</v>
      </c>
    </row>
    <row r="112" spans="1:27">
      <c r="A112" s="80" t="s">
        <v>205</v>
      </c>
      <c r="B112" s="39"/>
      <c r="C112" s="191">
        <v>79.982338250303982</v>
      </c>
      <c r="D112" s="26">
        <v>100</v>
      </c>
      <c r="E112" s="26">
        <v>74.489255125300019</v>
      </c>
      <c r="F112" s="207">
        <v>78.876836060519238</v>
      </c>
      <c r="G112" s="26">
        <v>77.622567029380164</v>
      </c>
      <c r="H112" s="26">
        <v>87.395566623686008</v>
      </c>
      <c r="I112" s="26">
        <v>75.483608287944605</v>
      </c>
      <c r="J112" s="26">
        <v>76.771977115399537</v>
      </c>
      <c r="K112" s="26">
        <v>71.202613563841311</v>
      </c>
      <c r="L112" s="26">
        <v>76.862919140244344</v>
      </c>
      <c r="M112" s="26">
        <v>71.422576911933959</v>
      </c>
      <c r="N112" s="26">
        <v>76.548881938375246</v>
      </c>
      <c r="O112" s="26">
        <v>64.34731686250619</v>
      </c>
      <c r="P112" s="26">
        <v>80.86785098773926</v>
      </c>
      <c r="Q112" s="26">
        <v>75.944790760648488</v>
      </c>
      <c r="R112" s="26">
        <v>70.96765740056297</v>
      </c>
      <c r="S112" s="26">
        <v>82.743484134216146</v>
      </c>
      <c r="T112" s="26">
        <v>71.55659875273308</v>
      </c>
      <c r="U112" s="26">
        <v>79.671931457350553</v>
      </c>
      <c r="V112" s="26">
        <v>73.433318326253172</v>
      </c>
      <c r="W112" s="26">
        <v>76.25984483319354</v>
      </c>
      <c r="X112" s="191">
        <v>32.633782748667251</v>
      </c>
      <c r="Y112" s="59">
        <v>100</v>
      </c>
      <c r="Z112" s="26">
        <v>68.344839701224444</v>
      </c>
      <c r="AA112" s="207">
        <v>45.049595225956118</v>
      </c>
    </row>
    <row r="113" spans="1:28">
      <c r="A113" s="6" t="s">
        <v>155</v>
      </c>
      <c r="B113" s="39"/>
      <c r="C113" s="191">
        <v>41.779109449835978</v>
      </c>
      <c r="D113" s="26">
        <v>100</v>
      </c>
      <c r="E113" s="26">
        <v>54.942862599633088</v>
      </c>
      <c r="F113" s="207">
        <v>44.929048999182719</v>
      </c>
      <c r="G113" s="26">
        <v>65.671559893252663</v>
      </c>
      <c r="H113" s="26">
        <v>73.574378479834351</v>
      </c>
      <c r="I113" s="26">
        <v>53.922592593479344</v>
      </c>
      <c r="J113" s="26">
        <v>55.474882844084107</v>
      </c>
      <c r="K113" s="26">
        <v>54.835332090524332</v>
      </c>
      <c r="L113" s="26">
        <v>64.195234053264315</v>
      </c>
      <c r="M113" s="26">
        <v>54.397370159351304</v>
      </c>
      <c r="N113" s="26">
        <v>58.921303771885356</v>
      </c>
      <c r="O113" s="26">
        <v>65.263006440539442</v>
      </c>
      <c r="P113" s="26">
        <v>37.851513772214936</v>
      </c>
      <c r="Q113" s="26">
        <v>40.448569747191222</v>
      </c>
      <c r="R113" s="26">
        <v>40.874663469179843</v>
      </c>
      <c r="S113" s="26">
        <v>43.762462916030152</v>
      </c>
      <c r="T113" s="26">
        <v>47.367373351740611</v>
      </c>
      <c r="U113" s="26">
        <v>60.263913826577415</v>
      </c>
      <c r="V113" s="26">
        <v>54.135839380480327</v>
      </c>
      <c r="W113" s="26">
        <v>55.564383842569278</v>
      </c>
      <c r="X113" s="191">
        <v>72.989158146471794</v>
      </c>
      <c r="Y113" s="59">
        <v>100</v>
      </c>
      <c r="Z113" s="26">
        <v>30.079758368939252</v>
      </c>
      <c r="AA113" s="207">
        <v>43.492731280050634</v>
      </c>
    </row>
    <row r="114" spans="1:28">
      <c r="A114" s="41" t="s">
        <v>75</v>
      </c>
      <c r="B114" s="39"/>
      <c r="C114" s="191">
        <v>85.569358456257376</v>
      </c>
      <c r="D114" s="26">
        <v>100</v>
      </c>
      <c r="E114" s="26">
        <v>84.784996650064016</v>
      </c>
      <c r="F114" s="207">
        <v>88.368947727372884</v>
      </c>
      <c r="G114" s="26">
        <v>91.339415155210247</v>
      </c>
      <c r="H114" s="26">
        <v>94.484835830452127</v>
      </c>
      <c r="I114" s="26">
        <v>85.359131548817061</v>
      </c>
      <c r="J114" s="26">
        <v>88.57675180994589</v>
      </c>
      <c r="K114" s="26">
        <v>85.323130227656364</v>
      </c>
      <c r="L114" s="26">
        <v>84.885672471248412</v>
      </c>
      <c r="M114" s="26">
        <v>87.794658893788096</v>
      </c>
      <c r="N114" s="26">
        <v>91.056284909261123</v>
      </c>
      <c r="O114" s="26">
        <v>91.498583251054342</v>
      </c>
      <c r="P114" s="26">
        <v>89.530908658518641</v>
      </c>
      <c r="Q114" s="26">
        <v>77.324799856893648</v>
      </c>
      <c r="R114" s="26">
        <v>83.705908996223371</v>
      </c>
      <c r="S114" s="26">
        <v>88.786330353123162</v>
      </c>
      <c r="T114" s="26">
        <v>86.185297545732865</v>
      </c>
      <c r="U114" s="26">
        <v>90.541764193202596</v>
      </c>
      <c r="V114" s="26">
        <v>87.718592677900517</v>
      </c>
      <c r="W114" s="26">
        <v>88.201968532810653</v>
      </c>
      <c r="X114" s="191">
        <v>90.206614155318519</v>
      </c>
      <c r="Y114" s="59">
        <v>100</v>
      </c>
      <c r="Z114" s="26">
        <v>75.791359877732802</v>
      </c>
      <c r="AA114" s="207">
        <v>90.46629825661671</v>
      </c>
    </row>
    <row r="115" spans="1:28">
      <c r="A115" s="142" t="s">
        <v>213</v>
      </c>
      <c r="B115" s="39"/>
      <c r="C115" s="191">
        <v>90.870952986944417</v>
      </c>
      <c r="D115" s="26">
        <v>100</v>
      </c>
      <c r="E115" s="26">
        <v>84.648373059491746</v>
      </c>
      <c r="F115" s="207">
        <v>91.898650521076618</v>
      </c>
      <c r="G115" s="26">
        <v>86.238912833977167</v>
      </c>
      <c r="H115" s="26">
        <v>84.722137444179836</v>
      </c>
      <c r="I115" s="26">
        <v>88.000363395394302</v>
      </c>
      <c r="J115" s="26">
        <v>95.048290282183245</v>
      </c>
      <c r="K115" s="26">
        <v>89.865660273288555</v>
      </c>
      <c r="L115" s="26">
        <v>94.446748072106075</v>
      </c>
      <c r="M115" s="26">
        <v>89.637883200328403</v>
      </c>
      <c r="N115" s="26">
        <v>93.029465173496604</v>
      </c>
      <c r="O115" s="26">
        <v>92.27052540575113</v>
      </c>
      <c r="P115" s="26">
        <v>99.383848887211443</v>
      </c>
      <c r="Q115" s="26">
        <v>82.636182675670398</v>
      </c>
      <c r="R115" s="26">
        <v>101.90192275445384</v>
      </c>
      <c r="S115" s="26">
        <v>86.418494048876028</v>
      </c>
      <c r="T115" s="26">
        <v>91.874086291097242</v>
      </c>
      <c r="U115" s="26">
        <v>92.434887194408233</v>
      </c>
      <c r="V115" s="26">
        <v>80.931310882412689</v>
      </c>
      <c r="W115" s="26">
        <v>89.812004249516136</v>
      </c>
      <c r="X115" s="191">
        <v>88.340819678975322</v>
      </c>
      <c r="Y115" s="59">
        <v>100</v>
      </c>
      <c r="Z115" s="26">
        <v>60.545435242959122</v>
      </c>
      <c r="AA115" s="207">
        <v>13.395957375242858</v>
      </c>
    </row>
    <row r="116" spans="1:28">
      <c r="A116" s="41" t="s">
        <v>76</v>
      </c>
      <c r="B116" s="39"/>
      <c r="C116" s="191">
        <v>83.100123605401606</v>
      </c>
      <c r="D116" s="26">
        <v>90.089598648373837</v>
      </c>
      <c r="E116" s="26">
        <v>91.169345175172566</v>
      </c>
      <c r="F116" s="207">
        <v>80.290813230430786</v>
      </c>
      <c r="G116" s="26">
        <v>91.052395314459488</v>
      </c>
      <c r="H116" s="26">
        <v>95.809434823803642</v>
      </c>
      <c r="I116" s="26">
        <v>84.810985234323368</v>
      </c>
      <c r="J116" s="26">
        <v>93.434748811141603</v>
      </c>
      <c r="K116" s="26">
        <v>85.895164733919614</v>
      </c>
      <c r="L116" s="26">
        <v>89.441594340023812</v>
      </c>
      <c r="M116" s="26">
        <v>91.271894571730925</v>
      </c>
      <c r="N116" s="26">
        <v>91.570258071274012</v>
      </c>
      <c r="O116" s="26">
        <v>88.927333027501959</v>
      </c>
      <c r="P116" s="26">
        <v>92.972145215603405</v>
      </c>
      <c r="Q116" s="26">
        <v>81.418423544156568</v>
      </c>
      <c r="R116" s="26">
        <v>94.582483626343276</v>
      </c>
      <c r="S116" s="26">
        <v>89.782036178153703</v>
      </c>
      <c r="T116" s="26">
        <v>87.551512650346737</v>
      </c>
      <c r="U116" s="26">
        <v>93.119041968088297</v>
      </c>
      <c r="V116" s="26">
        <v>89.14847962546412</v>
      </c>
      <c r="W116" s="26">
        <v>90.899860696202481</v>
      </c>
      <c r="X116" s="191">
        <v>63.904146601669673</v>
      </c>
      <c r="Y116" s="59">
        <v>100</v>
      </c>
      <c r="Z116" s="26">
        <v>74.248576204969808</v>
      </c>
      <c r="AA116" s="207">
        <v>21.660159059820852</v>
      </c>
    </row>
    <row r="117" spans="1:28">
      <c r="C117" s="192"/>
      <c r="D117" s="84"/>
      <c r="E117" s="84"/>
      <c r="F117" s="234"/>
      <c r="G117" s="84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192"/>
      <c r="Y117" s="84"/>
      <c r="Z117" s="26"/>
      <c r="AA117" s="234"/>
    </row>
    <row r="118" spans="1:28">
      <c r="A118" s="6" t="s">
        <v>64</v>
      </c>
      <c r="C118" s="191">
        <v>71.201046657439818</v>
      </c>
      <c r="D118" s="26">
        <v>93.796135627656568</v>
      </c>
      <c r="E118" s="26">
        <v>86.227121748935815</v>
      </c>
      <c r="F118" s="207">
        <v>77.770810941171774</v>
      </c>
      <c r="G118" s="26">
        <v>87.624243694374002</v>
      </c>
      <c r="H118" s="26">
        <v>94.894838235137925</v>
      </c>
      <c r="I118" s="26">
        <v>85.58308186026936</v>
      </c>
      <c r="J118" s="26">
        <v>90.999848385777341</v>
      </c>
      <c r="K118" s="26">
        <v>82.625929433221103</v>
      </c>
      <c r="L118" s="26">
        <v>89.479291709364176</v>
      </c>
      <c r="M118" s="26">
        <v>88.522415338988893</v>
      </c>
      <c r="N118" s="26">
        <v>89.401789860841589</v>
      </c>
      <c r="O118" s="26">
        <v>91.735617827015673</v>
      </c>
      <c r="P118" s="26">
        <v>86.586339586339591</v>
      </c>
      <c r="Q118" s="26">
        <v>80.105820466931576</v>
      </c>
      <c r="R118" s="26">
        <v>86.149464966552799</v>
      </c>
      <c r="S118" s="26">
        <v>90.048176446324604</v>
      </c>
      <c r="T118" s="26">
        <v>86.482771556141117</v>
      </c>
      <c r="U118" s="26">
        <v>91.002802683514304</v>
      </c>
      <c r="V118" s="26">
        <v>87.139928936803926</v>
      </c>
      <c r="W118" s="26">
        <v>88.506940237693456</v>
      </c>
      <c r="X118" s="191">
        <v>75.379502091623294</v>
      </c>
      <c r="Y118" s="26">
        <v>86.038024150473959</v>
      </c>
      <c r="Z118" s="26">
        <v>69.941177649510976</v>
      </c>
      <c r="AA118" s="207">
        <v>55.319464486131153</v>
      </c>
    </row>
    <row r="119" spans="1:28">
      <c r="A119" s="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</row>
    <row r="120" spans="1:28">
      <c r="A120" s="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</row>
    <row r="121" spans="1:28" ht="18.75">
      <c r="A121" s="6"/>
      <c r="C121" s="230" t="s">
        <v>178</v>
      </c>
      <c r="D121" s="99"/>
      <c r="E121" s="99"/>
      <c r="F121" s="212"/>
      <c r="G121" s="108"/>
      <c r="H121" s="108"/>
      <c r="I121" s="108"/>
      <c r="J121" s="108"/>
      <c r="K121" s="108"/>
      <c r="L121" s="113" t="s">
        <v>172</v>
      </c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31"/>
      <c r="Y121" s="132" t="s">
        <v>175</v>
      </c>
      <c r="Z121" s="133"/>
      <c r="AA121" s="131"/>
    </row>
    <row r="122" spans="1:28">
      <c r="C122" s="231" t="s">
        <v>176</v>
      </c>
      <c r="D122" s="99"/>
      <c r="E122" s="104" t="s">
        <v>101</v>
      </c>
      <c r="F122" s="212"/>
      <c r="G122" s="108"/>
      <c r="H122" s="108"/>
      <c r="I122" s="108"/>
      <c r="J122" s="108"/>
      <c r="K122" s="108"/>
      <c r="L122" s="108"/>
      <c r="M122" s="108"/>
      <c r="N122" s="108"/>
      <c r="O122" s="108"/>
      <c r="P122" s="108"/>
      <c r="Q122" s="108"/>
      <c r="R122" s="108"/>
      <c r="S122" s="108"/>
      <c r="T122" s="108"/>
      <c r="U122" s="108"/>
      <c r="V122" s="108"/>
      <c r="W122" s="108"/>
      <c r="X122" s="131"/>
      <c r="Y122" s="131"/>
      <c r="Z122" s="133"/>
      <c r="AA122" s="131"/>
    </row>
    <row r="123" spans="1:28" s="72" customFormat="1" ht="16.5" thickBot="1">
      <c r="A123" s="71" t="s">
        <v>84</v>
      </c>
      <c r="C123" s="213" t="s">
        <v>99</v>
      </c>
      <c r="D123" s="100" t="s">
        <v>1</v>
      </c>
      <c r="E123" s="101" t="s">
        <v>2</v>
      </c>
      <c r="F123" s="214" t="s">
        <v>3</v>
      </c>
      <c r="G123" s="103" t="s">
        <v>18</v>
      </c>
      <c r="H123" s="103" t="s">
        <v>19</v>
      </c>
      <c r="I123" s="103" t="s">
        <v>20</v>
      </c>
      <c r="J123" s="103" t="s">
        <v>21</v>
      </c>
      <c r="K123" s="103" t="s">
        <v>22</v>
      </c>
      <c r="L123" s="103" t="s">
        <v>23</v>
      </c>
      <c r="M123" s="103" t="s">
        <v>24</v>
      </c>
      <c r="N123" s="103" t="s">
        <v>25</v>
      </c>
      <c r="O123" s="103" t="s">
        <v>26</v>
      </c>
      <c r="P123" s="103" t="s">
        <v>27</v>
      </c>
      <c r="Q123" s="103" t="s">
        <v>28</v>
      </c>
      <c r="R123" s="103" t="s">
        <v>29</v>
      </c>
      <c r="S123" s="103" t="s">
        <v>30</v>
      </c>
      <c r="T123" s="103" t="s">
        <v>31</v>
      </c>
      <c r="U123" s="103" t="s">
        <v>32</v>
      </c>
      <c r="V123" s="103" t="s">
        <v>33</v>
      </c>
      <c r="W123" s="102" t="s">
        <v>17</v>
      </c>
      <c r="X123" s="134" t="s">
        <v>12</v>
      </c>
      <c r="Y123" s="134" t="s">
        <v>13</v>
      </c>
      <c r="Z123" s="134" t="s">
        <v>15</v>
      </c>
      <c r="AA123" s="134" t="s">
        <v>16</v>
      </c>
      <c r="AB123" s="75"/>
    </row>
    <row r="124" spans="1:28">
      <c r="A124" s="31" t="s">
        <v>38</v>
      </c>
      <c r="C124" s="191">
        <v>65.402883288405363</v>
      </c>
      <c r="D124" s="26">
        <v>100</v>
      </c>
      <c r="E124" s="26">
        <v>97.607020376225421</v>
      </c>
      <c r="F124" s="207">
        <v>69.663709563488439</v>
      </c>
      <c r="G124" s="26">
        <v>82.436685731031019</v>
      </c>
      <c r="H124" s="26">
        <v>80.839023738947375</v>
      </c>
      <c r="I124" s="26">
        <v>72.087460404748626</v>
      </c>
      <c r="J124" s="26">
        <v>83.649613459378486</v>
      </c>
      <c r="K124" s="26">
        <v>78.693755969624817</v>
      </c>
      <c r="L124" s="26">
        <v>78.889623562743296</v>
      </c>
      <c r="M124" s="26">
        <v>79.02338170457169</v>
      </c>
      <c r="N124" s="26">
        <v>84.041726659736</v>
      </c>
      <c r="O124" s="26">
        <v>75.540920371560006</v>
      </c>
      <c r="P124" s="26">
        <v>88.149204973343942</v>
      </c>
      <c r="Q124" s="26">
        <v>89.402616257221553</v>
      </c>
      <c r="R124" s="26">
        <v>82.978085686279314</v>
      </c>
      <c r="S124" s="26">
        <v>76.224466395831044</v>
      </c>
      <c r="T124" s="26">
        <v>70.825669117246107</v>
      </c>
      <c r="U124" s="26">
        <v>84.968080242751554</v>
      </c>
      <c r="V124" s="26">
        <v>79.206958518509126</v>
      </c>
      <c r="W124" s="26">
        <v>80.68348774580393</v>
      </c>
      <c r="X124" s="190">
        <v>80.651670911911751</v>
      </c>
      <c r="Y124" s="239">
        <v>71.809519137182392</v>
      </c>
      <c r="Z124" s="239">
        <v>30.765724171822129</v>
      </c>
      <c r="AA124" s="208">
        <v>100</v>
      </c>
      <c r="AB124" s="39"/>
    </row>
    <row r="125" spans="1:28">
      <c r="A125" s="6" t="s">
        <v>192</v>
      </c>
      <c r="C125" s="191">
        <v>48.474082188629403</v>
      </c>
      <c r="D125" s="26">
        <v>100</v>
      </c>
      <c r="E125" s="26">
        <v>74.424585355807764</v>
      </c>
      <c r="F125" s="207">
        <v>68.559509257205036</v>
      </c>
      <c r="G125" s="26">
        <v>72.472651617266891</v>
      </c>
      <c r="H125" s="26">
        <v>75.505274546921342</v>
      </c>
      <c r="I125" s="26">
        <v>47.924469076213853</v>
      </c>
      <c r="J125" s="26">
        <v>66.977345720626545</v>
      </c>
      <c r="K125" s="26">
        <v>68.391585028741943</v>
      </c>
      <c r="L125" s="26">
        <v>65.480465945020512</v>
      </c>
      <c r="M125" s="26">
        <v>70.4323471110947</v>
      </c>
      <c r="N125" s="26">
        <v>71.584953483716035</v>
      </c>
      <c r="O125" s="26">
        <v>70.278532616062535</v>
      </c>
      <c r="P125" s="26">
        <v>80.472912719071616</v>
      </c>
      <c r="Q125" s="26">
        <v>67.345413599282139</v>
      </c>
      <c r="R125" s="26">
        <v>67.864323903313093</v>
      </c>
      <c r="S125" s="26">
        <v>61.233765567764038</v>
      </c>
      <c r="T125" s="26">
        <v>64.475499840622334</v>
      </c>
      <c r="U125" s="26">
        <v>69.946799525612278</v>
      </c>
      <c r="V125" s="26">
        <v>70.396491771149044</v>
      </c>
      <c r="W125" s="26">
        <v>67.63517544718772</v>
      </c>
      <c r="X125" s="191">
        <v>5.7796352647625353</v>
      </c>
      <c r="Y125" s="26">
        <v>92.237945844751934</v>
      </c>
      <c r="Z125" s="26">
        <v>71.514848520680701</v>
      </c>
      <c r="AA125" s="207">
        <v>39.200909636319651</v>
      </c>
      <c r="AB125" s="39"/>
    </row>
    <row r="126" spans="1:28">
      <c r="A126" s="43" t="s">
        <v>169</v>
      </c>
      <c r="C126" s="191">
        <v>68.784219632163556</v>
      </c>
      <c r="D126" s="26">
        <v>100</v>
      </c>
      <c r="E126" s="26">
        <v>86.908685587027946</v>
      </c>
      <c r="F126" s="207">
        <v>84.441394008204483</v>
      </c>
      <c r="G126" s="128" t="s">
        <v>212</v>
      </c>
      <c r="H126" s="128" t="s">
        <v>212</v>
      </c>
      <c r="I126" s="26" t="s">
        <v>212</v>
      </c>
      <c r="J126" s="128" t="s">
        <v>212</v>
      </c>
      <c r="K126" s="128" t="s">
        <v>212</v>
      </c>
      <c r="L126" s="128" t="s">
        <v>212</v>
      </c>
      <c r="M126" s="26" t="s">
        <v>212</v>
      </c>
      <c r="N126" s="128" t="s">
        <v>212</v>
      </c>
      <c r="O126" s="128" t="s">
        <v>212</v>
      </c>
      <c r="P126" s="128" t="s">
        <v>212</v>
      </c>
      <c r="Q126" s="26" t="s">
        <v>212</v>
      </c>
      <c r="R126" s="128" t="s">
        <v>212</v>
      </c>
      <c r="S126" s="128" t="s">
        <v>212</v>
      </c>
      <c r="T126" s="128" t="s">
        <v>212</v>
      </c>
      <c r="U126" s="26" t="s">
        <v>212</v>
      </c>
      <c r="V126" s="128" t="s">
        <v>212</v>
      </c>
      <c r="W126" s="128" t="s">
        <v>208</v>
      </c>
      <c r="X126" s="191">
        <v>28.798731933635494</v>
      </c>
      <c r="Y126" s="26">
        <v>96.408404819309922</v>
      </c>
      <c r="Z126" s="26">
        <v>69.713976313332168</v>
      </c>
      <c r="AA126" s="207">
        <v>53.561771122685748</v>
      </c>
      <c r="AB126" s="39"/>
    </row>
    <row r="127" spans="1:28">
      <c r="A127" s="43" t="s">
        <v>170</v>
      </c>
      <c r="C127" s="191">
        <v>74.720569050849178</v>
      </c>
      <c r="D127" s="26">
        <v>100</v>
      </c>
      <c r="E127" s="26">
        <v>81.966775247795766</v>
      </c>
      <c r="F127" s="207">
        <v>83.365112033536576</v>
      </c>
      <c r="G127" s="128" t="s">
        <v>212</v>
      </c>
      <c r="H127" s="128" t="s">
        <v>212</v>
      </c>
      <c r="I127" s="26" t="s">
        <v>212</v>
      </c>
      <c r="J127" s="128" t="s">
        <v>212</v>
      </c>
      <c r="K127" s="128" t="s">
        <v>212</v>
      </c>
      <c r="L127" s="128" t="s">
        <v>212</v>
      </c>
      <c r="M127" s="26" t="s">
        <v>212</v>
      </c>
      <c r="N127" s="128" t="s">
        <v>212</v>
      </c>
      <c r="O127" s="128" t="s">
        <v>212</v>
      </c>
      <c r="P127" s="128" t="s">
        <v>212</v>
      </c>
      <c r="Q127" s="26" t="s">
        <v>212</v>
      </c>
      <c r="R127" s="128" t="s">
        <v>212</v>
      </c>
      <c r="S127" s="128" t="s">
        <v>212</v>
      </c>
      <c r="T127" s="128" t="s">
        <v>212</v>
      </c>
      <c r="U127" s="26" t="s">
        <v>212</v>
      </c>
      <c r="V127" s="128" t="s">
        <v>212</v>
      </c>
      <c r="W127" s="59" t="s">
        <v>212</v>
      </c>
      <c r="X127" s="191">
        <v>31.5961786160738</v>
      </c>
      <c r="Y127" s="26">
        <v>96.294106657740144</v>
      </c>
      <c r="Z127" s="26">
        <v>59.807668823153428</v>
      </c>
      <c r="AA127" s="207">
        <v>35.356361697423203</v>
      </c>
      <c r="AB127" s="39"/>
    </row>
    <row r="128" spans="1:28">
      <c r="C128" s="192"/>
      <c r="D128" s="84"/>
      <c r="E128" s="84"/>
      <c r="F128" s="23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192"/>
      <c r="Y128" s="84"/>
      <c r="Z128" s="26"/>
      <c r="AA128" s="234"/>
    </row>
    <row r="129" spans="1:28">
      <c r="A129" s="6" t="s">
        <v>64</v>
      </c>
      <c r="C129" s="232">
        <v>72.749312167299649</v>
      </c>
      <c r="D129" s="59">
        <v>73.213342579064218</v>
      </c>
      <c r="E129" s="59">
        <v>82.466518082992948</v>
      </c>
      <c r="F129" s="233">
        <v>79.731233118789262</v>
      </c>
      <c r="G129" s="59">
        <v>88.43439336890863</v>
      </c>
      <c r="H129" s="59">
        <v>94.399461621580642</v>
      </c>
      <c r="I129" s="59">
        <v>82.008886965783518</v>
      </c>
      <c r="J129" s="59">
        <v>90.84058109391934</v>
      </c>
      <c r="K129" s="59">
        <v>81.556129090854043</v>
      </c>
      <c r="L129" s="59">
        <v>88.316154085119607</v>
      </c>
      <c r="M129" s="59">
        <v>89.280586911327603</v>
      </c>
      <c r="N129" s="59">
        <v>90.548567613898584</v>
      </c>
      <c r="O129" s="59">
        <v>89.309747206119638</v>
      </c>
      <c r="P129" s="59">
        <v>88.995619972923464</v>
      </c>
      <c r="Q129" s="59">
        <v>76.40717748878518</v>
      </c>
      <c r="R129" s="59">
        <v>89.711088064990065</v>
      </c>
      <c r="S129" s="59">
        <v>88.215981735159815</v>
      </c>
      <c r="T129" s="59">
        <v>86.398366153581563</v>
      </c>
      <c r="U129" s="59">
        <v>90.072026014224363</v>
      </c>
      <c r="V129" s="59">
        <v>88.166273540754062</v>
      </c>
      <c r="W129" s="59">
        <v>87.96767043617244</v>
      </c>
      <c r="X129" s="232">
        <v>58.641276376737011</v>
      </c>
      <c r="Y129" s="59">
        <v>95.458128078817751</v>
      </c>
      <c r="Z129" s="59">
        <v>66.273972602739732</v>
      </c>
      <c r="AA129" s="233">
        <v>28</v>
      </c>
      <c r="AB129" s="4"/>
    </row>
    <row r="130" spans="1:28">
      <c r="A130" s="6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  <c r="AA130" s="59"/>
      <c r="AB130" s="4"/>
    </row>
    <row r="131" spans="1:28">
      <c r="A131" s="6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59"/>
      <c r="Y131" s="59"/>
      <c r="Z131" s="59"/>
      <c r="AA131" s="59"/>
      <c r="AB131" s="4"/>
    </row>
    <row r="132" spans="1:28" ht="18.75">
      <c r="A132" s="6"/>
      <c r="C132" s="230" t="s">
        <v>178</v>
      </c>
      <c r="D132" s="99"/>
      <c r="E132" s="99"/>
      <c r="F132" s="212"/>
      <c r="G132" s="108"/>
      <c r="H132" s="108"/>
      <c r="I132" s="108"/>
      <c r="J132" s="108"/>
      <c r="K132" s="108"/>
      <c r="L132" s="113" t="s">
        <v>172</v>
      </c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235"/>
      <c r="Y132" s="132" t="s">
        <v>175</v>
      </c>
      <c r="Z132" s="133"/>
      <c r="AA132" s="236"/>
      <c r="AB132" s="4"/>
    </row>
    <row r="133" spans="1:28">
      <c r="C133" s="231" t="s">
        <v>176</v>
      </c>
      <c r="D133" s="99"/>
      <c r="E133" s="104" t="s">
        <v>101</v>
      </c>
      <c r="F133" s="212"/>
      <c r="G133" s="108"/>
      <c r="H133" s="108"/>
      <c r="I133" s="108"/>
      <c r="J133" s="108"/>
      <c r="K133" s="108"/>
      <c r="L133" s="108"/>
      <c r="M133" s="108"/>
      <c r="N133" s="108"/>
      <c r="O133" s="108"/>
      <c r="P133" s="108"/>
      <c r="Q133" s="108"/>
      <c r="R133" s="108"/>
      <c r="S133" s="108"/>
      <c r="T133" s="108"/>
      <c r="U133" s="108"/>
      <c r="V133" s="108"/>
      <c r="W133" s="108"/>
      <c r="X133" s="235"/>
      <c r="Y133" s="131"/>
      <c r="Z133" s="133"/>
      <c r="AA133" s="236"/>
    </row>
    <row r="134" spans="1:28" s="72" customFormat="1" ht="16.5" thickBot="1">
      <c r="A134" s="71" t="s">
        <v>85</v>
      </c>
      <c r="C134" s="213" t="s">
        <v>99</v>
      </c>
      <c r="D134" s="100" t="s">
        <v>1</v>
      </c>
      <c r="E134" s="101" t="s">
        <v>2</v>
      </c>
      <c r="F134" s="214" t="s">
        <v>3</v>
      </c>
      <c r="G134" s="103" t="s">
        <v>18</v>
      </c>
      <c r="H134" s="103" t="s">
        <v>19</v>
      </c>
      <c r="I134" s="103" t="s">
        <v>20</v>
      </c>
      <c r="J134" s="103" t="s">
        <v>21</v>
      </c>
      <c r="K134" s="103" t="s">
        <v>22</v>
      </c>
      <c r="L134" s="103" t="s">
        <v>23</v>
      </c>
      <c r="M134" s="103" t="s">
        <v>24</v>
      </c>
      <c r="N134" s="103" t="s">
        <v>25</v>
      </c>
      <c r="O134" s="103" t="s">
        <v>26</v>
      </c>
      <c r="P134" s="103" t="s">
        <v>27</v>
      </c>
      <c r="Q134" s="103" t="s">
        <v>28</v>
      </c>
      <c r="R134" s="103" t="s">
        <v>29</v>
      </c>
      <c r="S134" s="103" t="s">
        <v>30</v>
      </c>
      <c r="T134" s="103" t="s">
        <v>31</v>
      </c>
      <c r="U134" s="103" t="s">
        <v>32</v>
      </c>
      <c r="V134" s="103" t="s">
        <v>33</v>
      </c>
      <c r="W134" s="102" t="s">
        <v>17</v>
      </c>
      <c r="X134" s="237" t="s">
        <v>12</v>
      </c>
      <c r="Y134" s="134" t="s">
        <v>13</v>
      </c>
      <c r="Z134" s="134" t="s">
        <v>15</v>
      </c>
      <c r="AA134" s="238" t="s">
        <v>16</v>
      </c>
      <c r="AB134" s="87"/>
    </row>
    <row r="135" spans="1:28">
      <c r="A135" s="43" t="s">
        <v>160</v>
      </c>
      <c r="C135" s="191">
        <v>86.531514625758959</v>
      </c>
      <c r="D135" s="26">
        <v>100</v>
      </c>
      <c r="E135" s="26">
        <v>100</v>
      </c>
      <c r="F135" s="415">
        <v>89.46785741460657</v>
      </c>
      <c r="G135" s="26">
        <v>100</v>
      </c>
      <c r="H135" s="26">
        <v>100</v>
      </c>
      <c r="I135" s="83">
        <v>99.637347002615783</v>
      </c>
      <c r="J135" s="83">
        <v>98.868566987327867</v>
      </c>
      <c r="K135" s="26">
        <v>100</v>
      </c>
      <c r="L135" s="26">
        <v>100</v>
      </c>
      <c r="M135" s="26">
        <v>100</v>
      </c>
      <c r="N135" s="26">
        <v>100</v>
      </c>
      <c r="O135" s="26">
        <v>100</v>
      </c>
      <c r="P135" s="26">
        <v>100</v>
      </c>
      <c r="Q135" s="26">
        <v>100</v>
      </c>
      <c r="R135" s="83">
        <v>99.218596129260263</v>
      </c>
      <c r="S135" s="83">
        <v>95.773543442554754</v>
      </c>
      <c r="T135" s="83">
        <v>92.415804525753515</v>
      </c>
      <c r="U135" s="26">
        <v>100</v>
      </c>
      <c r="V135" s="26">
        <v>100</v>
      </c>
      <c r="W135" s="26">
        <v>100</v>
      </c>
      <c r="X135" s="191">
        <v>61.261945992956164</v>
      </c>
      <c r="Y135" s="26">
        <v>95.438543832477691</v>
      </c>
      <c r="Z135" s="26">
        <v>76.599664909389233</v>
      </c>
      <c r="AA135" s="207">
        <v>98.89692373001543</v>
      </c>
    </row>
    <row r="136" spans="1:28">
      <c r="A136" s="43" t="s">
        <v>159</v>
      </c>
      <c r="C136" s="240">
        <v>74.185720353538429</v>
      </c>
      <c r="D136" s="26">
        <v>100.0947351771223</v>
      </c>
      <c r="E136" s="83">
        <v>99.311475459119649</v>
      </c>
      <c r="F136" s="227">
        <v>83.200377902793107</v>
      </c>
      <c r="G136" s="26">
        <v>100</v>
      </c>
      <c r="H136" s="83">
        <v>100.37508118624754</v>
      </c>
      <c r="I136" s="83">
        <v>95.48337646744308</v>
      </c>
      <c r="J136" s="83">
        <v>95.770339015656717</v>
      </c>
      <c r="K136" s="83">
        <v>96.002896409543879</v>
      </c>
      <c r="L136" s="83">
        <v>99.611213637793298</v>
      </c>
      <c r="M136" s="83">
        <v>100</v>
      </c>
      <c r="N136" s="83">
        <v>100</v>
      </c>
      <c r="O136" s="83">
        <v>99.261534835552467</v>
      </c>
      <c r="P136" s="83">
        <v>108.84136728105959</v>
      </c>
      <c r="Q136" s="83">
        <v>98.233700438799289</v>
      </c>
      <c r="R136" s="83">
        <v>97.014867295856718</v>
      </c>
      <c r="S136" s="83">
        <v>95.530856065688454</v>
      </c>
      <c r="T136" s="83">
        <v>90.379826299849739</v>
      </c>
      <c r="U136" s="26">
        <v>100</v>
      </c>
      <c r="V136" s="26">
        <v>100</v>
      </c>
      <c r="W136" s="83">
        <v>97.886167065432119</v>
      </c>
      <c r="X136" s="191">
        <v>0</v>
      </c>
      <c r="Y136" s="26">
        <v>95.883072540354831</v>
      </c>
      <c r="Z136" s="26">
        <v>71.162723328078584</v>
      </c>
      <c r="AA136" s="207">
        <v>60.038238573906085</v>
      </c>
    </row>
    <row r="137" spans="1:28">
      <c r="A137" s="43" t="s">
        <v>90</v>
      </c>
      <c r="C137" s="240">
        <v>67.482081788376149</v>
      </c>
      <c r="D137" s="26">
        <v>96.990491909870457</v>
      </c>
      <c r="E137" s="83">
        <v>93.597784057785603</v>
      </c>
      <c r="F137" s="227">
        <v>79.416347063910123</v>
      </c>
      <c r="G137" s="83">
        <v>91.064944935611209</v>
      </c>
      <c r="H137" s="83">
        <v>95.441872514705622</v>
      </c>
      <c r="I137" s="83">
        <v>87.741955188016433</v>
      </c>
      <c r="J137" s="83">
        <v>89.200030909487296</v>
      </c>
      <c r="K137" s="83">
        <v>84.089530973765193</v>
      </c>
      <c r="L137" s="83">
        <v>90.690926798034027</v>
      </c>
      <c r="M137" s="83">
        <v>92.485527234205605</v>
      </c>
      <c r="N137" s="83">
        <v>92.828672746390552</v>
      </c>
      <c r="O137" s="83">
        <v>93.105135793950112</v>
      </c>
      <c r="P137" s="83">
        <v>96.124606659085444</v>
      </c>
      <c r="Q137" s="83">
        <v>83.244320238187996</v>
      </c>
      <c r="R137" s="83">
        <v>86.858022172631436</v>
      </c>
      <c r="S137" s="83">
        <v>85.866130634183378</v>
      </c>
      <c r="T137" s="83">
        <v>77.619972863383211</v>
      </c>
      <c r="U137" s="83">
        <v>96.792605222460182</v>
      </c>
      <c r="V137" s="83">
        <v>90.078017679923093</v>
      </c>
      <c r="W137" s="83">
        <v>89.240202263061562</v>
      </c>
      <c r="X137" s="191">
        <v>33.711830092831917</v>
      </c>
      <c r="Y137" s="26">
        <v>94.856158012509752</v>
      </c>
      <c r="Z137" s="26">
        <v>73.875917671221714</v>
      </c>
      <c r="AA137" s="207">
        <v>51.11069154037417</v>
      </c>
    </row>
    <row r="138" spans="1:28">
      <c r="A138" s="43" t="s">
        <v>89</v>
      </c>
      <c r="C138" s="240">
        <v>82.760262610654138</v>
      </c>
      <c r="D138" s="26">
        <v>100</v>
      </c>
      <c r="E138" s="26">
        <v>100</v>
      </c>
      <c r="F138" s="227">
        <v>85.129039384201803</v>
      </c>
      <c r="G138" s="26">
        <v>100</v>
      </c>
      <c r="H138" s="83">
        <v>100.42006126147209</v>
      </c>
      <c r="I138" s="26">
        <v>100</v>
      </c>
      <c r="J138" s="83">
        <v>96.452387175188889</v>
      </c>
      <c r="K138" s="26">
        <v>100</v>
      </c>
      <c r="L138" s="26">
        <v>100</v>
      </c>
      <c r="M138" s="26">
        <v>100</v>
      </c>
      <c r="N138" s="26">
        <v>100</v>
      </c>
      <c r="O138" s="26">
        <v>100</v>
      </c>
      <c r="P138" s="26">
        <v>100</v>
      </c>
      <c r="Q138" s="26">
        <v>100</v>
      </c>
      <c r="R138" s="83">
        <v>98.433735102280266</v>
      </c>
      <c r="S138" s="83">
        <v>94.766241482329676</v>
      </c>
      <c r="T138" s="83">
        <v>93.079949272408427</v>
      </c>
      <c r="U138" s="26">
        <v>100</v>
      </c>
      <c r="V138" s="26">
        <v>100</v>
      </c>
      <c r="W138" s="83">
        <v>100.22153397274191</v>
      </c>
      <c r="X138" s="191">
        <v>84.745118914636592</v>
      </c>
      <c r="Y138" s="26">
        <v>94.912732102586986</v>
      </c>
      <c r="Z138" s="26">
        <v>83.319172251631429</v>
      </c>
      <c r="AA138" s="207">
        <v>100</v>
      </c>
    </row>
    <row r="139" spans="1:28">
      <c r="A139" s="43" t="s">
        <v>88</v>
      </c>
      <c r="C139" s="240">
        <v>72.001820770295964</v>
      </c>
      <c r="D139" s="26">
        <v>100</v>
      </c>
      <c r="E139" s="83">
        <v>87.787744549600234</v>
      </c>
      <c r="F139" s="227">
        <v>74.836509886924844</v>
      </c>
      <c r="G139" s="83">
        <v>85.320274610320098</v>
      </c>
      <c r="H139" s="83">
        <v>94.366528055374758</v>
      </c>
      <c r="I139" s="83">
        <v>88.368854836339892</v>
      </c>
      <c r="J139" s="83">
        <v>85.806800713384078</v>
      </c>
      <c r="K139" s="83">
        <v>84.74116199484844</v>
      </c>
      <c r="L139" s="83">
        <v>90.245216166535172</v>
      </c>
      <c r="M139" s="83">
        <v>87.931533553884876</v>
      </c>
      <c r="N139" s="83">
        <v>85.304824942163535</v>
      </c>
      <c r="O139" s="83">
        <v>92.298232745650395</v>
      </c>
      <c r="P139" s="83">
        <v>85.625001602190636</v>
      </c>
      <c r="Q139" s="83">
        <v>93.018126364135867</v>
      </c>
      <c r="R139" s="83">
        <v>88.180274070886369</v>
      </c>
      <c r="S139" s="83">
        <v>87.373376004183058</v>
      </c>
      <c r="T139" s="83">
        <v>81.421830173339728</v>
      </c>
      <c r="U139" s="83">
        <v>90.596797730129893</v>
      </c>
      <c r="V139" s="83">
        <v>86.257251562902013</v>
      </c>
      <c r="W139" s="83">
        <v>87.859662205196798</v>
      </c>
      <c r="X139" s="191">
        <v>82.287569836263103</v>
      </c>
      <c r="Y139" s="26">
        <v>97.2784028664624</v>
      </c>
      <c r="Z139" s="26">
        <v>90.234537974022203</v>
      </c>
      <c r="AA139" s="207">
        <v>100</v>
      </c>
    </row>
    <row r="140" spans="1:28">
      <c r="A140" s="43" t="s">
        <v>87</v>
      </c>
      <c r="C140" s="240">
        <v>76.44821676005715</v>
      </c>
      <c r="D140" s="26">
        <v>100</v>
      </c>
      <c r="E140" s="83">
        <v>96.297187657384526</v>
      </c>
      <c r="F140" s="227">
        <v>80.550947729788206</v>
      </c>
      <c r="G140" s="83">
        <v>94.740335415292705</v>
      </c>
      <c r="H140" s="83">
        <v>98.16676694047483</v>
      </c>
      <c r="I140" s="83">
        <v>93.838397760211492</v>
      </c>
      <c r="J140" s="83">
        <v>92.528574316888594</v>
      </c>
      <c r="K140" s="83">
        <v>91.904546385687254</v>
      </c>
      <c r="L140" s="83">
        <v>96.842309940654516</v>
      </c>
      <c r="M140" s="83">
        <v>95.56264521106857</v>
      </c>
      <c r="N140" s="83">
        <v>94.63206910158506</v>
      </c>
      <c r="O140" s="83">
        <v>97.168123942905751</v>
      </c>
      <c r="P140" s="83">
        <v>95.494175883505406</v>
      </c>
      <c r="Q140" s="83">
        <v>88.639958167001396</v>
      </c>
      <c r="R140" s="83">
        <v>95.259016608815628</v>
      </c>
      <c r="S140" s="83">
        <v>93.048939681059778</v>
      </c>
      <c r="T140" s="83">
        <v>89.604288034870692</v>
      </c>
      <c r="U140" s="83">
        <v>96.119766079519252</v>
      </c>
      <c r="V140" s="83">
        <v>93.864004413556287</v>
      </c>
      <c r="W140" s="83">
        <v>94.105508526199614</v>
      </c>
      <c r="X140" s="191">
        <v>91.979372092475288</v>
      </c>
      <c r="Y140" s="26">
        <v>96.57900526819617</v>
      </c>
      <c r="Z140" s="26">
        <v>96.655276220929636</v>
      </c>
      <c r="AA140" s="207">
        <v>100</v>
      </c>
    </row>
    <row r="141" spans="1:28">
      <c r="A141" s="43" t="s">
        <v>86</v>
      </c>
      <c r="C141" s="240">
        <v>65.107748115097408</v>
      </c>
      <c r="D141" s="26">
        <v>100</v>
      </c>
      <c r="E141" s="83">
        <v>90.891594706028698</v>
      </c>
      <c r="F141" s="227">
        <v>72.302255533735163</v>
      </c>
      <c r="G141" s="83">
        <v>89.013389309394711</v>
      </c>
      <c r="H141" s="83">
        <v>96.96692505053538</v>
      </c>
      <c r="I141" s="83">
        <v>88.046760105620578</v>
      </c>
      <c r="J141" s="83">
        <v>88.887003581691559</v>
      </c>
      <c r="K141" s="83">
        <v>82.151516757296775</v>
      </c>
      <c r="L141" s="83">
        <v>90.848019741792086</v>
      </c>
      <c r="M141" s="83">
        <v>91.076670556508887</v>
      </c>
      <c r="N141" s="83">
        <v>90.496065941071606</v>
      </c>
      <c r="O141" s="83">
        <v>94.30058361970309</v>
      </c>
      <c r="P141" s="83">
        <v>87.459545208972642</v>
      </c>
      <c r="Q141" s="83">
        <v>73.996641521559809</v>
      </c>
      <c r="R141" s="83">
        <v>91.375747493891311</v>
      </c>
      <c r="S141" s="83">
        <v>88.770243594113552</v>
      </c>
      <c r="T141" s="83">
        <v>81.608549044035144</v>
      </c>
      <c r="U141" s="83">
        <v>94.545189377316817</v>
      </c>
      <c r="V141" s="83">
        <v>88.291982366551096</v>
      </c>
      <c r="W141" s="83">
        <v>89.036771659273313</v>
      </c>
      <c r="X141" s="191">
        <v>83.352558521500271</v>
      </c>
      <c r="Y141" s="26">
        <v>96.036320703829276</v>
      </c>
      <c r="Z141" s="26">
        <v>100</v>
      </c>
      <c r="AA141" s="207">
        <v>100</v>
      </c>
    </row>
    <row r="142" spans="1:28">
      <c r="A142" s="43" t="s">
        <v>158</v>
      </c>
      <c r="C142" s="240">
        <v>76.487310064312723</v>
      </c>
      <c r="D142" s="26">
        <v>100</v>
      </c>
      <c r="E142" s="83">
        <v>97.444438912893418</v>
      </c>
      <c r="F142" s="227">
        <v>80.695760611338955</v>
      </c>
      <c r="G142" s="83">
        <v>89.958967322959211</v>
      </c>
      <c r="H142" s="83">
        <v>100.05424980949071</v>
      </c>
      <c r="I142" s="83">
        <v>93.055810662723033</v>
      </c>
      <c r="J142" s="83">
        <v>95.047549981522309</v>
      </c>
      <c r="K142" s="83">
        <v>87.430877397165389</v>
      </c>
      <c r="L142" s="83">
        <v>93.941241353813027</v>
      </c>
      <c r="M142" s="83">
        <v>92.428815924983198</v>
      </c>
      <c r="N142" s="83">
        <v>92.473272126834601</v>
      </c>
      <c r="O142" s="83">
        <v>94.569118049897426</v>
      </c>
      <c r="P142" s="83">
        <v>97.5120384348199</v>
      </c>
      <c r="Q142" s="83">
        <v>93.775930758722083</v>
      </c>
      <c r="R142" s="83">
        <v>97.887359654814816</v>
      </c>
      <c r="S142" s="83">
        <v>95.855156792059233</v>
      </c>
      <c r="T142" s="83">
        <v>90.470867228112127</v>
      </c>
      <c r="U142" s="83">
        <v>96.479437202236795</v>
      </c>
      <c r="V142" s="83">
        <v>87.737173106174168</v>
      </c>
      <c r="W142" s="83">
        <v>94.127218212791718</v>
      </c>
      <c r="X142" s="191">
        <v>100</v>
      </c>
      <c r="Y142" s="26">
        <v>97.674937469145064</v>
      </c>
      <c r="Z142" s="26">
        <v>97.926265295769824</v>
      </c>
      <c r="AA142" s="207">
        <v>100</v>
      </c>
    </row>
    <row r="143" spans="1:28">
      <c r="A143" s="6" t="s">
        <v>195</v>
      </c>
      <c r="C143" s="191">
        <v>77</v>
      </c>
      <c r="D143" s="26">
        <v>100</v>
      </c>
      <c r="E143" s="26">
        <v>90</v>
      </c>
      <c r="F143" s="227">
        <v>100</v>
      </c>
      <c r="G143" s="26">
        <v>92</v>
      </c>
      <c r="H143" s="26">
        <v>95</v>
      </c>
      <c r="I143" s="26">
        <v>91</v>
      </c>
      <c r="J143" s="26">
        <v>95</v>
      </c>
      <c r="K143" s="26">
        <v>85</v>
      </c>
      <c r="L143" s="26">
        <v>94</v>
      </c>
      <c r="M143" s="26">
        <v>98</v>
      </c>
      <c r="N143" s="26">
        <v>97</v>
      </c>
      <c r="O143" s="26">
        <v>96</v>
      </c>
      <c r="P143" s="26">
        <v>97</v>
      </c>
      <c r="Q143" s="26">
        <v>93</v>
      </c>
      <c r="R143" s="26">
        <v>91</v>
      </c>
      <c r="S143" s="26">
        <v>94</v>
      </c>
      <c r="T143" s="26">
        <v>96</v>
      </c>
      <c r="U143" s="26">
        <v>96</v>
      </c>
      <c r="V143" s="26">
        <v>95</v>
      </c>
      <c r="W143" s="26">
        <v>94</v>
      </c>
      <c r="X143" s="191">
        <v>32</v>
      </c>
      <c r="Y143" s="26">
        <v>89</v>
      </c>
      <c r="Z143" s="26">
        <v>89</v>
      </c>
      <c r="AA143" s="207">
        <v>95</v>
      </c>
      <c r="AB143" s="26"/>
    </row>
    <row r="144" spans="1:28">
      <c r="A144" s="43"/>
      <c r="C144" s="191"/>
      <c r="D144" s="26"/>
      <c r="E144" s="26"/>
      <c r="F144" s="233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191"/>
      <c r="Y144" s="26"/>
      <c r="Z144" s="26"/>
      <c r="AA144" s="207"/>
      <c r="AB144" s="26"/>
    </row>
    <row r="145" spans="1:28">
      <c r="A145" s="43" t="s">
        <v>64</v>
      </c>
      <c r="C145" s="191">
        <v>67</v>
      </c>
      <c r="D145" s="26">
        <v>77</v>
      </c>
      <c r="E145" s="26">
        <v>83</v>
      </c>
      <c r="F145" s="233" t="s">
        <v>212</v>
      </c>
      <c r="G145" s="26">
        <v>87</v>
      </c>
      <c r="H145" s="26">
        <v>83</v>
      </c>
      <c r="I145" s="26">
        <v>81</v>
      </c>
      <c r="J145" s="26">
        <v>91</v>
      </c>
      <c r="K145" s="26">
        <v>79</v>
      </c>
      <c r="L145" s="26">
        <v>87</v>
      </c>
      <c r="M145" s="26">
        <v>88</v>
      </c>
      <c r="N145" s="26">
        <v>89</v>
      </c>
      <c r="O145" s="26">
        <v>88</v>
      </c>
      <c r="P145" s="26">
        <v>87</v>
      </c>
      <c r="Q145" s="26">
        <v>81</v>
      </c>
      <c r="R145" s="26">
        <v>86</v>
      </c>
      <c r="S145" s="26">
        <v>89</v>
      </c>
      <c r="T145" s="26">
        <v>85</v>
      </c>
      <c r="U145" s="26">
        <v>93</v>
      </c>
      <c r="V145" s="26">
        <v>87</v>
      </c>
      <c r="W145" s="26">
        <v>87</v>
      </c>
      <c r="X145" s="191">
        <v>22</v>
      </c>
      <c r="Y145" s="26">
        <v>95</v>
      </c>
      <c r="Z145" s="26">
        <v>64</v>
      </c>
      <c r="AA145" s="207">
        <v>10</v>
      </c>
      <c r="AB145" s="26"/>
    </row>
    <row r="146" spans="1:28">
      <c r="C146" s="26"/>
      <c r="D146" s="26"/>
      <c r="E146" s="26"/>
      <c r="F146" s="254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</row>
    <row r="148" spans="1:28" ht="18.75">
      <c r="C148" s="230" t="s">
        <v>178</v>
      </c>
      <c r="D148" s="99"/>
      <c r="E148" s="99"/>
      <c r="F148" s="212"/>
      <c r="G148" s="108"/>
      <c r="H148" s="108"/>
      <c r="I148" s="108"/>
      <c r="J148" s="108"/>
      <c r="K148" s="108"/>
      <c r="L148" s="113" t="s">
        <v>172</v>
      </c>
      <c r="M148" s="108"/>
      <c r="N148" s="108"/>
      <c r="O148" s="108"/>
      <c r="P148" s="108"/>
      <c r="Q148" s="108"/>
      <c r="R148" s="108"/>
      <c r="S148" s="108"/>
      <c r="T148" s="108"/>
      <c r="U148" s="108"/>
      <c r="V148" s="108"/>
      <c r="W148" s="108"/>
      <c r="X148" s="235"/>
      <c r="Y148" s="132" t="s">
        <v>175</v>
      </c>
      <c r="Z148" s="133"/>
      <c r="AA148" s="236"/>
      <c r="AB148" s="4"/>
    </row>
    <row r="149" spans="1:28">
      <c r="C149" s="231" t="s">
        <v>176</v>
      </c>
      <c r="D149" s="99"/>
      <c r="E149" s="104" t="s">
        <v>101</v>
      </c>
      <c r="F149" s="212"/>
      <c r="G149" s="108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235"/>
      <c r="Y149" s="131"/>
      <c r="Z149" s="133"/>
      <c r="AA149" s="236"/>
    </row>
    <row r="150" spans="1:28" s="35" customFormat="1" ht="13.5" thickBot="1">
      <c r="A150" s="35" t="s">
        <v>267</v>
      </c>
      <c r="C150" s="213" t="s">
        <v>99</v>
      </c>
      <c r="D150" s="100" t="s">
        <v>1</v>
      </c>
      <c r="E150" s="101" t="s">
        <v>2</v>
      </c>
      <c r="F150" s="214" t="s">
        <v>3</v>
      </c>
      <c r="G150" s="103" t="s">
        <v>18</v>
      </c>
      <c r="H150" s="103" t="s">
        <v>19</v>
      </c>
      <c r="I150" s="103" t="s">
        <v>20</v>
      </c>
      <c r="J150" s="103" t="s">
        <v>21</v>
      </c>
      <c r="K150" s="103" t="s">
        <v>22</v>
      </c>
      <c r="L150" s="103" t="s">
        <v>23</v>
      </c>
      <c r="M150" s="103" t="s">
        <v>24</v>
      </c>
      <c r="N150" s="103" t="s">
        <v>25</v>
      </c>
      <c r="O150" s="103" t="s">
        <v>26</v>
      </c>
      <c r="P150" s="103" t="s">
        <v>27</v>
      </c>
      <c r="Q150" s="103" t="s">
        <v>28</v>
      </c>
      <c r="R150" s="103" t="s">
        <v>29</v>
      </c>
      <c r="S150" s="103" t="s">
        <v>30</v>
      </c>
      <c r="T150" s="103" t="s">
        <v>31</v>
      </c>
      <c r="U150" s="103" t="s">
        <v>32</v>
      </c>
      <c r="V150" s="103" t="s">
        <v>33</v>
      </c>
      <c r="W150" s="102" t="s">
        <v>17</v>
      </c>
      <c r="X150" s="237" t="s">
        <v>12</v>
      </c>
      <c r="Y150" s="134" t="s">
        <v>13</v>
      </c>
      <c r="Z150" s="134" t="s">
        <v>15</v>
      </c>
      <c r="AA150" s="238" t="s">
        <v>16</v>
      </c>
      <c r="AB150" s="87"/>
    </row>
    <row r="151" spans="1:28">
      <c r="A151" s="429" t="s">
        <v>274</v>
      </c>
      <c r="B151" s="431"/>
      <c r="C151" s="26">
        <v>54.251114386215647</v>
      </c>
      <c r="D151" s="26">
        <v>94.914474481323381</v>
      </c>
      <c r="E151" s="26">
        <v>64.925243608749099</v>
      </c>
      <c r="F151" s="289" t="s">
        <v>212</v>
      </c>
      <c r="G151" s="26">
        <v>75.022699828826489</v>
      </c>
      <c r="H151" s="26">
        <v>78.783861895359067</v>
      </c>
      <c r="I151" s="26">
        <v>50.366174709694889</v>
      </c>
      <c r="J151" s="26">
        <v>68.546234268630442</v>
      </c>
      <c r="K151" s="26">
        <v>69.544351264828151</v>
      </c>
      <c r="L151" s="26">
        <v>68.228275102765053</v>
      </c>
      <c r="M151" s="26">
        <v>72.369026482299702</v>
      </c>
      <c r="N151" s="26">
        <v>73.28573819562304</v>
      </c>
      <c r="O151" s="26">
        <v>66.096208468943956</v>
      </c>
      <c r="P151" s="26">
        <v>71.405199753829109</v>
      </c>
      <c r="Q151" s="26">
        <v>73.213772616841823</v>
      </c>
      <c r="R151" s="26">
        <v>71.692932781005098</v>
      </c>
      <c r="S151" s="26">
        <v>68.768391910159394</v>
      </c>
      <c r="T151" s="26">
        <v>68.805525926427819</v>
      </c>
      <c r="U151" s="26">
        <v>73.818956128412381</v>
      </c>
      <c r="V151" s="26">
        <v>72.462372073307179</v>
      </c>
      <c r="W151" s="208">
        <v>69.593159776189708</v>
      </c>
      <c r="X151" s="26">
        <v>9.9906735873803942</v>
      </c>
      <c r="Y151" s="26">
        <v>91.922138180874484</v>
      </c>
      <c r="Z151" s="26">
        <v>64.813728775733352</v>
      </c>
      <c r="AA151" s="208">
        <v>10</v>
      </c>
    </row>
    <row r="152" spans="1:28">
      <c r="A152" s="3" t="s">
        <v>268</v>
      </c>
      <c r="B152" s="280"/>
      <c r="C152" s="26">
        <v>66.988193632536081</v>
      </c>
      <c r="D152" s="26">
        <v>76.880527689122133</v>
      </c>
      <c r="E152" s="26">
        <v>80.210177404407148</v>
      </c>
      <c r="F152" s="291" t="s">
        <v>212</v>
      </c>
      <c r="G152" s="26">
        <v>85.846822540399714</v>
      </c>
      <c r="H152" s="26">
        <v>87.534899216165726</v>
      </c>
      <c r="I152" s="26">
        <v>75.137306629796115</v>
      </c>
      <c r="J152" s="26">
        <v>84.529748900752054</v>
      </c>
      <c r="K152" s="26">
        <v>71.536288943087584</v>
      </c>
      <c r="L152" s="26">
        <v>80.318610060816056</v>
      </c>
      <c r="M152" s="26">
        <v>81.57441632359884</v>
      </c>
      <c r="N152" s="26">
        <v>86.333111087808319</v>
      </c>
      <c r="O152" s="26">
        <v>64.546352574847901</v>
      </c>
      <c r="P152" s="26">
        <v>84.88714680676496</v>
      </c>
      <c r="Q152" s="26">
        <v>86.204773956051312</v>
      </c>
      <c r="R152" s="26">
        <v>83.352741848036416</v>
      </c>
      <c r="S152" s="26">
        <v>85.103182085783985</v>
      </c>
      <c r="T152" s="26">
        <v>78.163047680495694</v>
      </c>
      <c r="U152" s="26">
        <v>88.394070377803459</v>
      </c>
      <c r="V152" s="26">
        <v>85.927043517442485</v>
      </c>
      <c r="W152" s="207">
        <v>83.826393403208797</v>
      </c>
      <c r="X152" s="26">
        <v>23.586697185389539</v>
      </c>
      <c r="Y152" s="26">
        <v>47.828402450052522</v>
      </c>
      <c r="Z152" s="26">
        <v>61.253410452118978</v>
      </c>
      <c r="AA152" s="207">
        <v>100</v>
      </c>
    </row>
    <row r="153" spans="1:28">
      <c r="A153" s="3" t="s">
        <v>271</v>
      </c>
      <c r="B153" s="280"/>
      <c r="C153" s="26">
        <v>78.390889941872715</v>
      </c>
      <c r="D153" s="26">
        <v>85.172155523361653</v>
      </c>
      <c r="E153" s="26">
        <v>82.952341684378808</v>
      </c>
      <c r="F153" s="291" t="s">
        <v>212</v>
      </c>
      <c r="G153" s="26">
        <v>88.231663539566171</v>
      </c>
      <c r="H153" s="26">
        <v>89.305880376978919</v>
      </c>
      <c r="I153" s="26">
        <v>76.946976817408242</v>
      </c>
      <c r="J153" s="26">
        <v>87.131897766081281</v>
      </c>
      <c r="K153" s="26">
        <v>77.318309089996845</v>
      </c>
      <c r="L153" s="26">
        <v>82.856533175168991</v>
      </c>
      <c r="M153" s="26">
        <v>85.637305515811747</v>
      </c>
      <c r="N153" s="26">
        <v>88.576901360417153</v>
      </c>
      <c r="O153" s="26">
        <v>90.094524822188305</v>
      </c>
      <c r="P153" s="26">
        <v>87.409574826088715</v>
      </c>
      <c r="Q153" s="26">
        <v>88.819332686826939</v>
      </c>
      <c r="R153" s="26">
        <v>86.911129442835204</v>
      </c>
      <c r="S153" s="26">
        <v>69.766660445095468</v>
      </c>
      <c r="T153" s="26">
        <v>82.87172388617843</v>
      </c>
      <c r="U153" s="26">
        <v>90.358729425033388</v>
      </c>
      <c r="V153" s="26">
        <v>83.886529791447387</v>
      </c>
      <c r="W153" s="207">
        <v>85.894732360162763</v>
      </c>
      <c r="X153" s="26">
        <v>59.298080236244822</v>
      </c>
      <c r="Y153" s="26">
        <v>59.401404080063308</v>
      </c>
      <c r="Z153" s="26">
        <v>62.779731012265778</v>
      </c>
      <c r="AA153" s="207">
        <v>100</v>
      </c>
    </row>
    <row r="154" spans="1:28">
      <c r="A154" s="3" t="s">
        <v>272</v>
      </c>
      <c r="B154" s="280"/>
      <c r="C154" s="26">
        <v>71.927621505055512</v>
      </c>
      <c r="D154" s="26">
        <v>67.838530298892394</v>
      </c>
      <c r="E154" s="26">
        <v>77.952697683650854</v>
      </c>
      <c r="F154" s="291" t="s">
        <v>212</v>
      </c>
      <c r="G154" s="26">
        <v>82.804387137621077</v>
      </c>
      <c r="H154" s="26">
        <v>83.43794799925071</v>
      </c>
      <c r="I154" s="26">
        <v>70.096738093307906</v>
      </c>
      <c r="J154" s="26">
        <v>81.550894829036025</v>
      </c>
      <c r="K154" s="26">
        <v>68.096182106274384</v>
      </c>
      <c r="L154" s="26">
        <v>75.462358688319298</v>
      </c>
      <c r="M154" s="26">
        <v>77.096661731226405</v>
      </c>
      <c r="N154" s="26">
        <v>83.213761256758076</v>
      </c>
      <c r="O154" s="26">
        <v>64.698433669826059</v>
      </c>
      <c r="P154" s="26">
        <v>78.148650666970042</v>
      </c>
      <c r="Q154" s="26">
        <v>82.92367749721366</v>
      </c>
      <c r="R154" s="26">
        <v>78.647174381249116</v>
      </c>
      <c r="S154" s="26">
        <v>80.87869327104309</v>
      </c>
      <c r="T154" s="26">
        <v>73.059333877306955</v>
      </c>
      <c r="U154" s="26">
        <v>85.294091981902383</v>
      </c>
      <c r="V154" s="26">
        <v>77.018914749695952</v>
      </c>
      <c r="W154" s="207">
        <v>79.873222190865803</v>
      </c>
      <c r="X154" s="26">
        <v>58.153382414697774</v>
      </c>
      <c r="Y154" s="26">
        <v>28.014750523925954</v>
      </c>
      <c r="Z154" s="26">
        <v>58.690482758072356</v>
      </c>
      <c r="AA154" s="207">
        <v>100</v>
      </c>
    </row>
    <row r="155" spans="1:28">
      <c r="A155" s="3" t="s">
        <v>273</v>
      </c>
      <c r="B155" s="280"/>
      <c r="C155" s="26">
        <v>26.3137360168943</v>
      </c>
      <c r="D155" s="26">
        <v>100</v>
      </c>
      <c r="E155" s="26">
        <v>72.195744077649181</v>
      </c>
      <c r="F155" s="291" t="s">
        <v>212</v>
      </c>
      <c r="G155" s="26">
        <v>78.707955228155669</v>
      </c>
      <c r="H155" s="26">
        <v>87.510459684756441</v>
      </c>
      <c r="I155" s="26">
        <v>56.618959408180125</v>
      </c>
      <c r="J155" s="26">
        <v>87.795709866399363</v>
      </c>
      <c r="K155" s="26">
        <v>67.777479933413431</v>
      </c>
      <c r="L155" s="26">
        <v>76.676635799982378</v>
      </c>
      <c r="M155" s="26">
        <v>77.267856086750399</v>
      </c>
      <c r="N155" s="26">
        <v>81.189690443869566</v>
      </c>
      <c r="O155" s="26">
        <v>74.683256018881124</v>
      </c>
      <c r="P155" s="26">
        <v>74.799849797277048</v>
      </c>
      <c r="Q155" s="26">
        <v>87.830040178850936</v>
      </c>
      <c r="R155" s="26">
        <v>87.607615475138928</v>
      </c>
      <c r="S155" s="26">
        <v>79.409739716899352</v>
      </c>
      <c r="T155" s="26">
        <v>70.741343618930657</v>
      </c>
      <c r="U155" s="26">
        <v>80.57269951978995</v>
      </c>
      <c r="V155" s="26">
        <v>85.539152939766453</v>
      </c>
      <c r="W155" s="207">
        <v>81.530269567759191</v>
      </c>
      <c r="X155" s="26">
        <v>28.402815239061486</v>
      </c>
      <c r="Y155" s="26">
        <v>88.063848663458899</v>
      </c>
      <c r="Z155" s="26">
        <v>29.32490976701099</v>
      </c>
      <c r="AA155" s="207">
        <v>29.631606890042473</v>
      </c>
    </row>
    <row r="156" spans="1:28">
      <c r="A156" s="43"/>
    </row>
    <row r="157" spans="1:28">
      <c r="A157" s="3"/>
    </row>
    <row r="160" spans="1:28" s="42" customFormat="1"/>
    <row r="162" spans="1:31">
      <c r="X162" s="84"/>
      <c r="Y162" s="84"/>
      <c r="Z162" s="26"/>
      <c r="AA162" s="84"/>
    </row>
    <row r="163" spans="1:31" ht="18.75">
      <c r="C163" s="230" t="s">
        <v>178</v>
      </c>
      <c r="D163" s="99"/>
      <c r="E163" s="99"/>
      <c r="F163" s="212"/>
      <c r="G163" s="108"/>
      <c r="H163" s="108"/>
      <c r="I163" s="108"/>
      <c r="J163" s="108"/>
      <c r="K163" s="108"/>
      <c r="L163" s="113" t="s">
        <v>172</v>
      </c>
      <c r="M163" s="108"/>
      <c r="N163" s="108"/>
      <c r="O163" s="108"/>
      <c r="P163" s="108"/>
      <c r="Q163" s="108"/>
      <c r="R163" s="108"/>
      <c r="S163" s="108"/>
      <c r="T163" s="108"/>
      <c r="U163" s="108"/>
      <c r="V163" s="108"/>
      <c r="W163" s="108"/>
      <c r="X163" s="235"/>
      <c r="Y163" s="132" t="s">
        <v>175</v>
      </c>
      <c r="Z163" s="133"/>
      <c r="AA163" s="236"/>
    </row>
    <row r="164" spans="1:31">
      <c r="C164" s="231" t="s">
        <v>176</v>
      </c>
      <c r="D164" s="99"/>
      <c r="E164" s="104" t="s">
        <v>101</v>
      </c>
      <c r="F164" s="212"/>
      <c r="G164" s="108"/>
      <c r="H164" s="108"/>
      <c r="I164" s="108"/>
      <c r="J164" s="108"/>
      <c r="K164" s="108"/>
      <c r="L164" s="108"/>
      <c r="M164" s="108"/>
      <c r="N164" s="108"/>
      <c r="O164" s="108"/>
      <c r="P164" s="108"/>
      <c r="Q164" s="108"/>
      <c r="R164" s="108"/>
      <c r="S164" s="108"/>
      <c r="T164" s="108"/>
      <c r="U164" s="108"/>
      <c r="V164" s="108"/>
      <c r="W164" s="108"/>
      <c r="X164" s="235"/>
      <c r="Y164" s="131"/>
      <c r="Z164" s="133"/>
      <c r="AA164" s="236"/>
    </row>
    <row r="165" spans="1:31" s="35" customFormat="1" ht="16.5" thickBot="1">
      <c r="A165" s="71" t="s">
        <v>73</v>
      </c>
      <c r="B165" s="75"/>
      <c r="C165" s="213" t="s">
        <v>99</v>
      </c>
      <c r="D165" s="100" t="s">
        <v>1</v>
      </c>
      <c r="E165" s="101" t="s">
        <v>2</v>
      </c>
      <c r="F165" s="214" t="s">
        <v>3</v>
      </c>
      <c r="G165" s="103" t="s">
        <v>18</v>
      </c>
      <c r="H165" s="103" t="s">
        <v>19</v>
      </c>
      <c r="I165" s="103" t="s">
        <v>20</v>
      </c>
      <c r="J165" s="103" t="s">
        <v>21</v>
      </c>
      <c r="K165" s="103" t="s">
        <v>22</v>
      </c>
      <c r="L165" s="103" t="s">
        <v>23</v>
      </c>
      <c r="M165" s="103" t="s">
        <v>24</v>
      </c>
      <c r="N165" s="103" t="s">
        <v>25</v>
      </c>
      <c r="O165" s="103" t="s">
        <v>26</v>
      </c>
      <c r="P165" s="103" t="s">
        <v>27</v>
      </c>
      <c r="Q165" s="103" t="s">
        <v>28</v>
      </c>
      <c r="R165" s="103" t="s">
        <v>29</v>
      </c>
      <c r="S165" s="103" t="s">
        <v>30</v>
      </c>
      <c r="T165" s="103" t="s">
        <v>31</v>
      </c>
      <c r="U165" s="103" t="s">
        <v>32</v>
      </c>
      <c r="V165" s="103" t="s">
        <v>33</v>
      </c>
      <c r="W165" s="102" t="s">
        <v>17</v>
      </c>
      <c r="X165" s="237" t="s">
        <v>12</v>
      </c>
      <c r="Y165" s="134" t="s">
        <v>13</v>
      </c>
      <c r="Z165" s="134" t="s">
        <v>15</v>
      </c>
      <c r="AA165" s="238" t="s">
        <v>16</v>
      </c>
    </row>
    <row r="166" spans="1:31" s="28" customFormat="1">
      <c r="A166" s="6" t="s">
        <v>64</v>
      </c>
      <c r="B166" s="31"/>
      <c r="C166" s="191">
        <v>76.347945429618278</v>
      </c>
      <c r="D166" s="26">
        <v>98.308523995228271</v>
      </c>
      <c r="E166" s="26">
        <v>86.645149472893763</v>
      </c>
      <c r="F166" s="207">
        <v>81.746141600494823</v>
      </c>
      <c r="G166" s="26">
        <v>91.036291733306669</v>
      </c>
      <c r="H166" s="26">
        <v>94.617394265697968</v>
      </c>
      <c r="I166" s="26">
        <v>86.512712661848852</v>
      </c>
      <c r="J166" s="26">
        <v>92.838572969809206</v>
      </c>
      <c r="K166" s="26">
        <v>84.975630027244435</v>
      </c>
      <c r="L166" s="26">
        <v>87.025283851976454</v>
      </c>
      <c r="M166" s="26">
        <v>92.176552916844955</v>
      </c>
      <c r="N166" s="26">
        <v>91.541984748095501</v>
      </c>
      <c r="O166" s="26">
        <v>92.144302186040477</v>
      </c>
      <c r="P166" s="26">
        <v>91.129851822711771</v>
      </c>
      <c r="Q166" s="26">
        <v>81.768660375045954</v>
      </c>
      <c r="R166" s="26">
        <v>89.349244970815093</v>
      </c>
      <c r="S166" s="26">
        <v>90.290535850392004</v>
      </c>
      <c r="T166" s="26">
        <v>88.655659508174764</v>
      </c>
      <c r="U166" s="26">
        <v>92.512847751524376</v>
      </c>
      <c r="V166" s="26">
        <v>90.170779845956346</v>
      </c>
      <c r="W166" s="26">
        <v>90.217280551482929</v>
      </c>
      <c r="X166" s="191">
        <v>74.266213968957871</v>
      </c>
      <c r="Y166" s="26">
        <v>96.310258249641322</v>
      </c>
      <c r="Z166" s="26">
        <v>67.606492614221906</v>
      </c>
      <c r="AA166" s="207">
        <v>21.954684035476706</v>
      </c>
      <c r="AB166" s="31"/>
      <c r="AC166" s="31"/>
      <c r="AD166" s="31"/>
      <c r="AE166" s="31"/>
    </row>
    <row r="167" spans="1:31" s="28" customFormat="1">
      <c r="A167" s="6" t="s">
        <v>64</v>
      </c>
      <c r="B167" s="31"/>
      <c r="C167" s="232">
        <v>76.265253987887945</v>
      </c>
      <c r="D167" s="59">
        <v>98.683943487227893</v>
      </c>
      <c r="E167" s="59">
        <v>86.08756946435561</v>
      </c>
      <c r="F167" s="233">
        <v>82.663982717146197</v>
      </c>
      <c r="G167" s="59">
        <v>87.386190543575069</v>
      </c>
      <c r="H167" s="59">
        <v>94.34629932756441</v>
      </c>
      <c r="I167" s="59">
        <v>83.257048720663889</v>
      </c>
      <c r="J167" s="59">
        <v>88.997978646396007</v>
      </c>
      <c r="K167" s="59">
        <v>83.216197444430335</v>
      </c>
      <c r="L167" s="59">
        <v>87.673728210007255</v>
      </c>
      <c r="M167" s="59">
        <v>88.874029011286339</v>
      </c>
      <c r="N167" s="59">
        <v>88.993990279579577</v>
      </c>
      <c r="O167" s="59">
        <v>89.356480850602608</v>
      </c>
      <c r="P167" s="59">
        <v>86.398028254868677</v>
      </c>
      <c r="Q167" s="59">
        <v>76.158547310485162</v>
      </c>
      <c r="R167" s="59">
        <v>87.820764442902529</v>
      </c>
      <c r="S167" s="59">
        <v>87.284468782230192</v>
      </c>
      <c r="T167" s="59">
        <v>85.819256429267128</v>
      </c>
      <c r="U167" s="59">
        <v>90.934688001813868</v>
      </c>
      <c r="V167" s="59">
        <v>88.116475637442022</v>
      </c>
      <c r="W167" s="59">
        <v>87.473651676059418</v>
      </c>
      <c r="X167" s="232">
        <v>60.66174566174567</v>
      </c>
      <c r="Y167" s="59">
        <v>94.904538341158059</v>
      </c>
      <c r="Z167" s="59">
        <v>65.393034825870643</v>
      </c>
      <c r="AA167" s="233">
        <v>20.250194250194244</v>
      </c>
      <c r="AB167" s="31"/>
      <c r="AC167" s="31"/>
      <c r="AD167" s="31"/>
      <c r="AE167" s="31"/>
    </row>
    <row r="168" spans="1:31" s="28" customFormat="1">
      <c r="A168" s="6" t="s">
        <v>64</v>
      </c>
      <c r="B168" s="31"/>
      <c r="C168" s="191">
        <v>75.86756437255346</v>
      </c>
      <c r="D168" s="26">
        <v>94.923526425445786</v>
      </c>
      <c r="E168" s="26">
        <v>83.356474641586786</v>
      </c>
      <c r="F168" s="233">
        <v>80</v>
      </c>
      <c r="G168" s="26">
        <v>85.455922296716508</v>
      </c>
      <c r="H168" s="26">
        <v>91.423740710156892</v>
      </c>
      <c r="I168" s="26">
        <v>78.019339164237124</v>
      </c>
      <c r="J168" s="26">
        <v>88.716084533465775</v>
      </c>
      <c r="K168" s="26">
        <v>80.085913452833594</v>
      </c>
      <c r="L168" s="26">
        <v>85.093386243386249</v>
      </c>
      <c r="M168" s="26">
        <v>85.799879139473049</v>
      </c>
      <c r="N168" s="26">
        <v>86.629221781305105</v>
      </c>
      <c r="O168" s="26">
        <v>86.475958188153299</v>
      </c>
      <c r="P168" s="26">
        <v>85.27378547378548</v>
      </c>
      <c r="Q168" s="26">
        <v>74.212876190476194</v>
      </c>
      <c r="R168" s="26">
        <v>85.655341880341879</v>
      </c>
      <c r="S168" s="26">
        <v>85.465991751031126</v>
      </c>
      <c r="T168" s="26">
        <v>82.208776844070954</v>
      </c>
      <c r="U168" s="26">
        <v>88.429621489621482</v>
      </c>
      <c r="V168" s="26">
        <v>85.421195542046618</v>
      </c>
      <c r="W168" s="26">
        <v>85.044983265683967</v>
      </c>
      <c r="X168" s="191">
        <v>46.576623376623367</v>
      </c>
      <c r="Y168" s="26">
        <v>94.291353383458656</v>
      </c>
      <c r="Z168" s="26">
        <v>59.835222978080118</v>
      </c>
      <c r="AA168" s="207">
        <v>7.6904761904761711</v>
      </c>
      <c r="AB168" s="31"/>
      <c r="AC168" s="31"/>
      <c r="AD168" s="31"/>
      <c r="AE168" s="31"/>
    </row>
    <row r="169" spans="1:31" s="28" customFormat="1">
      <c r="A169" s="6" t="s">
        <v>103</v>
      </c>
      <c r="B169" s="31"/>
      <c r="C169" s="232">
        <v>63.695785766538336</v>
      </c>
      <c r="D169" s="59">
        <v>90.342560918275396</v>
      </c>
      <c r="E169" s="59">
        <v>87.290631130972244</v>
      </c>
      <c r="F169" s="233">
        <v>74</v>
      </c>
      <c r="G169" s="59">
        <v>86.365709641571698</v>
      </c>
      <c r="H169" s="59">
        <v>93.669696969696972</v>
      </c>
      <c r="I169" s="59">
        <v>82.938041918980332</v>
      </c>
      <c r="J169" s="59">
        <v>91.171944095331185</v>
      </c>
      <c r="K169" s="59">
        <v>85.231562137049949</v>
      </c>
      <c r="L169" s="59">
        <v>88.384768152809386</v>
      </c>
      <c r="M169" s="59">
        <v>88.121530070682624</v>
      </c>
      <c r="N169" s="59">
        <v>86.895231961021423</v>
      </c>
      <c r="O169" s="59">
        <v>89.856947563714471</v>
      </c>
      <c r="P169" s="59">
        <v>89.297818409660522</v>
      </c>
      <c r="Q169" s="59">
        <v>84.292943221514648</v>
      </c>
      <c r="R169" s="59">
        <v>88.095238095238116</v>
      </c>
      <c r="S169" s="59">
        <v>88.230519480519476</v>
      </c>
      <c r="T169" s="59">
        <v>83.570352649300034</v>
      </c>
      <c r="U169" s="59">
        <v>90.798454845484557</v>
      </c>
      <c r="V169" s="59">
        <v>87.468762298307752</v>
      </c>
      <c r="W169" s="59">
        <v>88.224300853666975</v>
      </c>
      <c r="X169" s="232">
        <v>49.194324194324203</v>
      </c>
      <c r="Y169" s="59">
        <v>93.726719017416698</v>
      </c>
      <c r="Z169" s="59">
        <v>63.096662109820016</v>
      </c>
      <c r="AA169" s="233">
        <v>28.696303696303698</v>
      </c>
      <c r="AB169" s="31"/>
      <c r="AC169" s="31"/>
      <c r="AD169" s="31"/>
      <c r="AE169" s="31"/>
    </row>
    <row r="170" spans="1:31" s="28" customFormat="1">
      <c r="A170" s="6" t="s">
        <v>64</v>
      </c>
      <c r="B170" s="31"/>
      <c r="C170" s="191">
        <v>71.201046657439818</v>
      </c>
      <c r="D170" s="26">
        <v>93.796135627656568</v>
      </c>
      <c r="E170" s="26">
        <v>86.227121748935815</v>
      </c>
      <c r="F170" s="207">
        <v>77.770810941171774</v>
      </c>
      <c r="G170" s="26">
        <v>87.624243694374002</v>
      </c>
      <c r="H170" s="26">
        <v>94.894838235137925</v>
      </c>
      <c r="I170" s="26">
        <v>85.58308186026936</v>
      </c>
      <c r="J170" s="26">
        <v>90.999848385777341</v>
      </c>
      <c r="K170" s="26">
        <v>82.625929433221103</v>
      </c>
      <c r="L170" s="26">
        <v>89.479291709364176</v>
      </c>
      <c r="M170" s="26">
        <v>88.522415338988893</v>
      </c>
      <c r="N170" s="26">
        <v>89.401789860841589</v>
      </c>
      <c r="O170" s="26">
        <v>91.735617827015673</v>
      </c>
      <c r="P170" s="26">
        <v>86.586339586339591</v>
      </c>
      <c r="Q170" s="26">
        <v>80.105820466931576</v>
      </c>
      <c r="R170" s="26">
        <v>86.149464966552799</v>
      </c>
      <c r="S170" s="26">
        <v>90.048176446324604</v>
      </c>
      <c r="T170" s="26">
        <v>86.482771556141117</v>
      </c>
      <c r="U170" s="26">
        <v>91.002802683514304</v>
      </c>
      <c r="V170" s="26">
        <v>87.139928936803926</v>
      </c>
      <c r="W170" s="26">
        <v>88.506940237693456</v>
      </c>
      <c r="X170" s="191">
        <v>75.379502091623294</v>
      </c>
      <c r="Y170" s="26">
        <v>86.038024150473959</v>
      </c>
      <c r="Z170" s="26">
        <v>69.941177649510976</v>
      </c>
      <c r="AA170" s="207">
        <v>55.319464486131153</v>
      </c>
      <c r="AB170" s="31"/>
      <c r="AC170" s="31"/>
      <c r="AD170" s="31"/>
      <c r="AE170" s="31"/>
    </row>
    <row r="171" spans="1:31" s="28" customFormat="1">
      <c r="A171" s="6" t="s">
        <v>64</v>
      </c>
      <c r="B171" s="31"/>
      <c r="C171" s="232">
        <v>72.749312167299649</v>
      </c>
      <c r="D171" s="59">
        <v>73.213342579064218</v>
      </c>
      <c r="E171" s="59">
        <v>82.466518082992948</v>
      </c>
      <c r="F171" s="233">
        <v>79.731233118789262</v>
      </c>
      <c r="G171" s="59">
        <v>88.43439336890863</v>
      </c>
      <c r="H171" s="59">
        <v>94.399461621580642</v>
      </c>
      <c r="I171" s="59">
        <v>82.008886965783518</v>
      </c>
      <c r="J171" s="59">
        <v>90.84058109391934</v>
      </c>
      <c r="K171" s="59">
        <v>81.556129090854043</v>
      </c>
      <c r="L171" s="59">
        <v>88.316154085119607</v>
      </c>
      <c r="M171" s="59">
        <v>89.280586911327603</v>
      </c>
      <c r="N171" s="59">
        <v>90.548567613898584</v>
      </c>
      <c r="O171" s="59">
        <v>89.309747206119638</v>
      </c>
      <c r="P171" s="59">
        <v>88.995619972923464</v>
      </c>
      <c r="Q171" s="59">
        <v>76.40717748878518</v>
      </c>
      <c r="R171" s="59">
        <v>89.711088064990065</v>
      </c>
      <c r="S171" s="59">
        <v>88.215981735159815</v>
      </c>
      <c r="T171" s="59">
        <v>86.398366153581563</v>
      </c>
      <c r="U171" s="59">
        <v>90.072026014224363</v>
      </c>
      <c r="V171" s="59">
        <v>88.166273540754062</v>
      </c>
      <c r="W171" s="59">
        <v>87.96767043617244</v>
      </c>
      <c r="X171" s="232">
        <v>58.641276376737011</v>
      </c>
      <c r="Y171" s="59">
        <v>95.458128078817751</v>
      </c>
      <c r="Z171" s="59">
        <v>66.273972602739732</v>
      </c>
      <c r="AA171" s="233">
        <v>28</v>
      </c>
      <c r="AB171" s="4"/>
      <c r="AC171" s="31"/>
      <c r="AD171" s="31"/>
      <c r="AE171" s="31"/>
    </row>
    <row r="172" spans="1:31">
      <c r="C172" s="241"/>
      <c r="F172" s="242"/>
      <c r="X172" s="241"/>
      <c r="AA172" s="242"/>
    </row>
    <row r="173" spans="1:31">
      <c r="B173" s="31" t="s">
        <v>37</v>
      </c>
      <c r="C173" s="243">
        <f>AVERAGE(C166:C171)</f>
        <v>72.68781806355625</v>
      </c>
      <c r="D173" s="39">
        <f t="shared" ref="D173:AA173" si="2">AVERAGE(D166:D171)</f>
        <v>91.544672172149703</v>
      </c>
      <c r="E173" s="39">
        <f t="shared" si="2"/>
        <v>85.345577423622856</v>
      </c>
      <c r="F173" s="187">
        <f t="shared" si="2"/>
        <v>79.318694729600338</v>
      </c>
      <c r="G173" s="39">
        <f t="shared" si="2"/>
        <v>87.71712521307542</v>
      </c>
      <c r="H173" s="39">
        <f t="shared" si="2"/>
        <v>93.891905188305785</v>
      </c>
      <c r="I173" s="39">
        <f t="shared" si="2"/>
        <v>83.053185215297177</v>
      </c>
      <c r="J173" s="39">
        <f t="shared" si="2"/>
        <v>90.594168287449804</v>
      </c>
      <c r="K173" s="39">
        <f t="shared" si="2"/>
        <v>82.948560264272245</v>
      </c>
      <c r="L173" s="39">
        <f t="shared" si="2"/>
        <v>87.662102042110519</v>
      </c>
      <c r="M173" s="39">
        <f t="shared" si="2"/>
        <v>88.795832231433906</v>
      </c>
      <c r="N173" s="39">
        <f t="shared" si="2"/>
        <v>89.001797707456959</v>
      </c>
      <c r="O173" s="39">
        <f t="shared" si="2"/>
        <v>89.813175636941025</v>
      </c>
      <c r="P173" s="39">
        <f t="shared" si="2"/>
        <v>87.946907253381596</v>
      </c>
      <c r="Q173" s="39">
        <f t="shared" si="2"/>
        <v>78.824337508873114</v>
      </c>
      <c r="R173" s="39">
        <f t="shared" si="2"/>
        <v>87.796857070140092</v>
      </c>
      <c r="S173" s="39">
        <f t="shared" si="2"/>
        <v>88.255945674276219</v>
      </c>
      <c r="T173" s="39">
        <f t="shared" si="2"/>
        <v>85.522530523422589</v>
      </c>
      <c r="U173" s="39">
        <f t="shared" si="2"/>
        <v>90.625073464363822</v>
      </c>
      <c r="V173" s="39">
        <f t="shared" si="2"/>
        <v>87.747235966885128</v>
      </c>
      <c r="W173" s="39">
        <f>AVERAGE(W166:W171)</f>
        <v>87.905804503459876</v>
      </c>
      <c r="X173" s="243">
        <f t="shared" si="2"/>
        <v>60.786614278335229</v>
      </c>
      <c r="Y173" s="39">
        <f t="shared" si="2"/>
        <v>93.454836870161088</v>
      </c>
      <c r="Z173" s="39">
        <f t="shared" si="2"/>
        <v>65.357760463373893</v>
      </c>
      <c r="AA173" s="187">
        <f t="shared" si="2"/>
        <v>26.985187109763661</v>
      </c>
      <c r="AB173" s="28"/>
    </row>
    <row r="174" spans="1:31">
      <c r="B174" s="31" t="s">
        <v>36</v>
      </c>
      <c r="C174" s="243">
        <f>STDEV(C166:C171)</f>
        <v>4.8862313143674463</v>
      </c>
      <c r="D174" s="39">
        <f t="shared" ref="D174:AA174" si="3">STDEV(D166:D171)</f>
        <v>9.4940754817767541</v>
      </c>
      <c r="E174" s="39">
        <f t="shared" si="3"/>
        <v>1.9516816639038714</v>
      </c>
      <c r="F174" s="187">
        <f t="shared" si="3"/>
        <v>3.1113428828666825</v>
      </c>
      <c r="G174" s="39">
        <f t="shared" si="3"/>
        <v>1.9281518303413767</v>
      </c>
      <c r="H174" s="39">
        <f t="shared" si="3"/>
        <v>1.2757357914729197</v>
      </c>
      <c r="I174" s="39">
        <f t="shared" si="3"/>
        <v>2.9951190425390064</v>
      </c>
      <c r="J174" s="39">
        <f t="shared" si="3"/>
        <v>1.5278411457297405</v>
      </c>
      <c r="K174" s="39">
        <f t="shared" si="3"/>
        <v>1.9814358949084934</v>
      </c>
      <c r="L174" s="39">
        <f t="shared" si="3"/>
        <v>1.5004120833277423</v>
      </c>
      <c r="M174" s="39">
        <f t="shared" si="3"/>
        <v>2.0579382555912784</v>
      </c>
      <c r="N174" s="39">
        <f t="shared" si="3"/>
        <v>1.9530405931785975</v>
      </c>
      <c r="O174" s="39">
        <f t="shared" si="3"/>
        <v>2.0362161750160501</v>
      </c>
      <c r="P174" s="39">
        <f t="shared" si="3"/>
        <v>2.2114088734961204</v>
      </c>
      <c r="Q174" s="39">
        <f t="shared" si="3"/>
        <v>3.8582783618606555</v>
      </c>
      <c r="R174" s="39">
        <f t="shared" si="3"/>
        <v>1.6409618731409505</v>
      </c>
      <c r="S174" s="39">
        <f t="shared" si="3"/>
        <v>1.7934047049333601</v>
      </c>
      <c r="T174" s="39">
        <f t="shared" si="3"/>
        <v>2.297200743944761</v>
      </c>
      <c r="U174" s="39">
        <f t="shared" si="3"/>
        <v>1.3385189010910026</v>
      </c>
      <c r="V174" s="39">
        <f t="shared" si="3"/>
        <v>1.5519232472815794</v>
      </c>
      <c r="W174" s="39">
        <f>STDEV(W166:W171)</f>
        <v>1.6840788123489772</v>
      </c>
      <c r="X174" s="243">
        <f>STDEV(X166:X171)</f>
        <v>12.129097907533676</v>
      </c>
      <c r="Y174" s="39">
        <f t="shared" si="3"/>
        <v>3.743021025161327</v>
      </c>
      <c r="Z174" s="39">
        <f t="shared" si="3"/>
        <v>3.5359916401011997</v>
      </c>
      <c r="AA174" s="187">
        <f t="shared" si="3"/>
        <v>15.809750150293874</v>
      </c>
      <c r="AB174" s="28"/>
    </row>
    <row r="175" spans="1:31" s="42" customFormat="1">
      <c r="B175" s="42" t="s">
        <v>35</v>
      </c>
      <c r="C175" s="244">
        <f>C174/C173</f>
        <v>6.7222148697530834E-2</v>
      </c>
      <c r="D175" s="29">
        <f t="shared" ref="D175:AA175" si="4">D174/D173</f>
        <v>0.103709754554838</v>
      </c>
      <c r="E175" s="29">
        <f t="shared" si="4"/>
        <v>2.2867988275672081E-2</v>
      </c>
      <c r="F175" s="245">
        <f t="shared" si="4"/>
        <v>3.9225845728719289E-2</v>
      </c>
      <c r="G175" s="29">
        <f t="shared" si="4"/>
        <v>2.1981475403550499E-2</v>
      </c>
      <c r="H175" s="29">
        <f t="shared" si="4"/>
        <v>1.3587281980425851E-2</v>
      </c>
      <c r="I175" s="29">
        <f t="shared" si="4"/>
        <v>3.6062663157045899E-2</v>
      </c>
      <c r="J175" s="29">
        <f t="shared" si="4"/>
        <v>1.6864674345063727E-2</v>
      </c>
      <c r="K175" s="29">
        <f t="shared" si="4"/>
        <v>2.3887526059472079E-2</v>
      </c>
      <c r="L175" s="29">
        <f t="shared" si="4"/>
        <v>1.7115857917791941E-2</v>
      </c>
      <c r="M175" s="29">
        <f t="shared" si="4"/>
        <v>2.3176068109002575E-2</v>
      </c>
      <c r="N175" s="29">
        <f t="shared" si="4"/>
        <v>2.1943833085238493E-2</v>
      </c>
      <c r="O175" s="29">
        <f t="shared" si="4"/>
        <v>2.2671686649264128E-2</v>
      </c>
      <c r="P175" s="29">
        <f t="shared" si="4"/>
        <v>2.5144816828235772E-2</v>
      </c>
      <c r="Q175" s="29">
        <f t="shared" si="4"/>
        <v>4.8947805764004503E-2</v>
      </c>
      <c r="R175" s="29">
        <f t="shared" si="4"/>
        <v>1.8690439816427613E-2</v>
      </c>
      <c r="S175" s="29">
        <f t="shared" si="4"/>
        <v>2.0320497290372132E-2</v>
      </c>
      <c r="T175" s="29">
        <f t="shared" si="4"/>
        <v>2.6860766746320871E-2</v>
      </c>
      <c r="U175" s="29">
        <f t="shared" si="4"/>
        <v>1.4769851763125397E-2</v>
      </c>
      <c r="V175" s="29">
        <f t="shared" si="4"/>
        <v>1.768629211143766E-2</v>
      </c>
      <c r="W175" s="29">
        <f>W174/W173</f>
        <v>1.915776576827408E-2</v>
      </c>
      <c r="X175" s="244">
        <f t="shared" si="4"/>
        <v>0.19953567165290487</v>
      </c>
      <c r="Y175" s="29">
        <f t="shared" si="4"/>
        <v>4.0051656506143077E-2</v>
      </c>
      <c r="Z175" s="29">
        <f t="shared" si="4"/>
        <v>5.4102093080174447E-2</v>
      </c>
      <c r="AA175" s="245">
        <f t="shared" si="4"/>
        <v>0.58586772387335651</v>
      </c>
      <c r="AB175" s="29"/>
    </row>
    <row r="176" spans="1:31"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243"/>
      <c r="Y176" s="39"/>
      <c r="AA176" s="187"/>
      <c r="AB176" s="28"/>
    </row>
    <row r="178" spans="1:31" ht="18.75">
      <c r="C178" s="114" t="s">
        <v>178</v>
      </c>
      <c r="D178" s="99"/>
      <c r="E178" s="99"/>
      <c r="F178" s="99"/>
      <c r="G178" s="108"/>
      <c r="H178" s="108"/>
      <c r="I178" s="108"/>
      <c r="J178" s="108"/>
      <c r="K178" s="108"/>
      <c r="L178" s="113" t="s">
        <v>172</v>
      </c>
      <c r="M178" s="108"/>
      <c r="N178" s="108"/>
      <c r="O178" s="108"/>
      <c r="P178" s="108"/>
      <c r="Q178" s="108"/>
      <c r="R178" s="108"/>
      <c r="S178" s="108"/>
      <c r="T178" s="108"/>
      <c r="U178" s="108"/>
      <c r="V178" s="108"/>
      <c r="W178" s="108"/>
      <c r="X178" s="110"/>
      <c r="Y178" s="112" t="s">
        <v>175</v>
      </c>
      <c r="Z178" s="130"/>
      <c r="AA178" s="110"/>
    </row>
    <row r="179" spans="1:31">
      <c r="C179" s="104" t="s">
        <v>176</v>
      </c>
      <c r="D179" s="99"/>
      <c r="E179" s="104" t="s">
        <v>101</v>
      </c>
      <c r="F179" s="99"/>
      <c r="G179" s="108"/>
      <c r="H179" s="108"/>
      <c r="I179" s="108"/>
      <c r="J179" s="108"/>
      <c r="K179" s="108"/>
      <c r="L179" s="108"/>
      <c r="M179" s="108"/>
      <c r="N179" s="108"/>
      <c r="O179" s="108"/>
      <c r="P179" s="108"/>
      <c r="Q179" s="108"/>
      <c r="R179" s="108"/>
      <c r="S179" s="108"/>
      <c r="T179" s="108"/>
      <c r="U179" s="108"/>
      <c r="V179" s="108"/>
      <c r="W179" s="108"/>
      <c r="X179" s="110"/>
      <c r="Y179" s="110"/>
      <c r="Z179" s="130"/>
      <c r="AA179" s="110"/>
    </row>
    <row r="180" spans="1:31" ht="16.5" thickBot="1">
      <c r="A180" s="71" t="s">
        <v>98</v>
      </c>
      <c r="B180" s="75"/>
      <c r="C180" s="100" t="s">
        <v>99</v>
      </c>
      <c r="D180" s="100" t="s">
        <v>1</v>
      </c>
      <c r="E180" s="101" t="s">
        <v>2</v>
      </c>
      <c r="F180" s="101" t="s">
        <v>3</v>
      </c>
      <c r="G180" s="103" t="s">
        <v>18</v>
      </c>
      <c r="H180" s="103" t="s">
        <v>19</v>
      </c>
      <c r="I180" s="103" t="s">
        <v>20</v>
      </c>
      <c r="J180" s="103" t="s">
        <v>21</v>
      </c>
      <c r="K180" s="103" t="s">
        <v>22</v>
      </c>
      <c r="L180" s="103" t="s">
        <v>23</v>
      </c>
      <c r="M180" s="103" t="s">
        <v>24</v>
      </c>
      <c r="N180" s="103" t="s">
        <v>25</v>
      </c>
      <c r="O180" s="103" t="s">
        <v>26</v>
      </c>
      <c r="P180" s="103" t="s">
        <v>27</v>
      </c>
      <c r="Q180" s="103" t="s">
        <v>28</v>
      </c>
      <c r="R180" s="103" t="s">
        <v>29</v>
      </c>
      <c r="S180" s="103" t="s">
        <v>30</v>
      </c>
      <c r="T180" s="103" t="s">
        <v>31</v>
      </c>
      <c r="U180" s="103" t="s">
        <v>32</v>
      </c>
      <c r="V180" s="103" t="s">
        <v>33</v>
      </c>
      <c r="W180" s="102" t="s">
        <v>17</v>
      </c>
      <c r="X180" s="111" t="s">
        <v>12</v>
      </c>
      <c r="Y180" s="111" t="s">
        <v>13</v>
      </c>
      <c r="Z180" s="111" t="s">
        <v>15</v>
      </c>
      <c r="AA180" s="111" t="s">
        <v>16</v>
      </c>
      <c r="AB180" s="35"/>
      <c r="AC180" s="35"/>
      <c r="AD180" s="35"/>
      <c r="AE180" s="35"/>
    </row>
    <row r="181" spans="1:31">
      <c r="A181" s="6" t="s">
        <v>195</v>
      </c>
      <c r="B181" s="10"/>
      <c r="C181" s="188">
        <v>98.284478552324074</v>
      </c>
      <c r="D181" s="288">
        <v>100</v>
      </c>
      <c r="E181" s="288">
        <v>91.732982943630347</v>
      </c>
      <c r="F181" s="288">
        <v>100</v>
      </c>
      <c r="G181" s="4">
        <v>93.451060449739543</v>
      </c>
      <c r="H181" s="4">
        <v>95.240203373828066</v>
      </c>
      <c r="I181" s="4">
        <v>89.127006642714591</v>
      </c>
      <c r="J181" s="4">
        <v>94.980710843231407</v>
      </c>
      <c r="K181" s="4">
        <v>85.178076304085963</v>
      </c>
      <c r="L181" s="4">
        <v>94.120876093236177</v>
      </c>
      <c r="M181" s="4">
        <v>97.540456894044326</v>
      </c>
      <c r="N181" s="4">
        <v>99.008786008896848</v>
      </c>
      <c r="O181" s="4">
        <v>94.206925164134347</v>
      </c>
      <c r="P181" s="4">
        <v>95.320305357587628</v>
      </c>
      <c r="Q181" s="4">
        <v>95.68130022969676</v>
      </c>
      <c r="R181" s="4">
        <v>92.096988169242692</v>
      </c>
      <c r="S181" s="4">
        <v>93.775823178842415</v>
      </c>
      <c r="T181" s="4">
        <v>94.706769958289939</v>
      </c>
      <c r="U181" s="4">
        <v>99.34117883398892</v>
      </c>
      <c r="V181" s="4">
        <v>96.099217789433808</v>
      </c>
      <c r="W181" s="4">
        <v>93.843856350365115</v>
      </c>
      <c r="X181" s="389">
        <v>57.303561411969845</v>
      </c>
      <c r="Y181" s="380">
        <v>98.241477754205903</v>
      </c>
      <c r="Z181" s="380">
        <v>96.80116666494051</v>
      </c>
      <c r="AA181" s="381">
        <v>74.660593150976055</v>
      </c>
      <c r="AB181" s="28"/>
      <c r="AC181" s="28"/>
      <c r="AD181" s="28"/>
      <c r="AE181" s="28"/>
    </row>
    <row r="182" spans="1:31">
      <c r="A182" s="6" t="s">
        <v>195</v>
      </c>
      <c r="B182" s="28"/>
      <c r="C182" s="243">
        <v>70.066285964628577</v>
      </c>
      <c r="D182" s="39">
        <v>81.696016364769221</v>
      </c>
      <c r="E182" s="39">
        <v>85.152951408121694</v>
      </c>
      <c r="F182" s="187">
        <v>90.357717458322099</v>
      </c>
      <c r="G182" s="39">
        <v>90.657085525798266</v>
      </c>
      <c r="H182" s="39">
        <v>90.865982781893933</v>
      </c>
      <c r="I182" s="39">
        <v>87.474350365317434</v>
      </c>
      <c r="J182" s="39">
        <v>96.983745396716245</v>
      </c>
      <c r="K182" s="39">
        <v>78.608881064352715</v>
      </c>
      <c r="L182" s="39">
        <v>92.256565897334994</v>
      </c>
      <c r="M182" s="39">
        <v>94.830419418302611</v>
      </c>
      <c r="N182" s="39">
        <v>96.963428735156526</v>
      </c>
      <c r="O182" s="39">
        <v>93.621894713972324</v>
      </c>
      <c r="P182" s="39">
        <v>98.928071335301482</v>
      </c>
      <c r="Q182" s="39">
        <v>91.087027687920099</v>
      </c>
      <c r="R182" s="39">
        <v>85.408480133203412</v>
      </c>
      <c r="S182" s="39">
        <v>93.80485706596717</v>
      </c>
      <c r="T182" s="39">
        <v>92.452650575636312</v>
      </c>
      <c r="U182" s="39">
        <v>96.143460498412594</v>
      </c>
      <c r="V182" s="39">
        <v>93.694048688482113</v>
      </c>
      <c r="W182" s="39">
        <v>91.784845983510237</v>
      </c>
      <c r="X182" s="191">
        <v>33.864891227464319</v>
      </c>
      <c r="Y182" s="26">
        <v>89.568580026827362</v>
      </c>
      <c r="Z182" s="26">
        <v>61.995568217790435</v>
      </c>
      <c r="AA182" s="207">
        <v>3.9610599926389098</v>
      </c>
      <c r="AB182" s="28"/>
      <c r="AC182" s="28"/>
      <c r="AD182" s="28"/>
      <c r="AE182" s="28"/>
    </row>
    <row r="183" spans="1:31">
      <c r="A183" s="40" t="s">
        <v>34</v>
      </c>
      <c r="B183" s="29"/>
      <c r="C183" s="243">
        <v>79.198067156009003</v>
      </c>
      <c r="D183" s="39">
        <v>89.117462101968783</v>
      </c>
      <c r="E183" s="39">
        <v>91.113869391570731</v>
      </c>
      <c r="F183" s="290" t="s">
        <v>208</v>
      </c>
      <c r="G183" s="39">
        <v>91.179106480383155</v>
      </c>
      <c r="H183" s="39">
        <v>94.93874993174785</v>
      </c>
      <c r="I183" s="39">
        <v>94.911397582016818</v>
      </c>
      <c r="J183" s="39">
        <v>95.904564101910523</v>
      </c>
      <c r="K183" s="39">
        <v>79.219916045906089</v>
      </c>
      <c r="L183" s="39">
        <v>96.891966640367642</v>
      </c>
      <c r="M183" s="39">
        <v>98.645460136653071</v>
      </c>
      <c r="N183" s="39">
        <v>100.15209572044584</v>
      </c>
      <c r="O183" s="39">
        <v>96.801142979373182</v>
      </c>
      <c r="P183" s="39">
        <v>95.490879303889685</v>
      </c>
      <c r="Q183" s="39">
        <v>93.214469193203726</v>
      </c>
      <c r="R183" s="39">
        <v>83.343383100908298</v>
      </c>
      <c r="S183" s="39">
        <v>93.801875524172246</v>
      </c>
      <c r="T183" s="39">
        <v>96.158310225835237</v>
      </c>
      <c r="U183" s="39">
        <v>98.315835785223854</v>
      </c>
      <c r="V183" s="39">
        <v>96.428741847125977</v>
      </c>
      <c r="W183" s="39">
        <v>93.80764596069217</v>
      </c>
      <c r="X183" s="191">
        <v>44.785639595301767</v>
      </c>
      <c r="Y183" s="26">
        <v>93.080824332906033</v>
      </c>
      <c r="Z183" s="26">
        <v>80.999449284692744</v>
      </c>
      <c r="AA183" s="207">
        <v>55.944622533038</v>
      </c>
      <c r="AB183" s="28"/>
      <c r="AC183" s="28"/>
      <c r="AD183" s="28"/>
      <c r="AE183" s="28"/>
    </row>
    <row r="184" spans="1:31">
      <c r="A184" s="6" t="s">
        <v>195</v>
      </c>
      <c r="B184" s="10"/>
      <c r="C184" s="189">
        <v>84.626938878146134</v>
      </c>
      <c r="D184" s="4">
        <v>100</v>
      </c>
      <c r="E184" s="4">
        <v>84.948837288785626</v>
      </c>
      <c r="F184" s="290" t="s">
        <v>208</v>
      </c>
      <c r="G184" s="4">
        <v>89.035203406972983</v>
      </c>
      <c r="H184" s="4">
        <v>89.085551369189702</v>
      </c>
      <c r="I184" s="4">
        <v>87.605780508693087</v>
      </c>
      <c r="J184" s="4">
        <v>98.11458737860066</v>
      </c>
      <c r="K184" s="4">
        <v>69.022847385762034</v>
      </c>
      <c r="L184" s="4">
        <v>92.445706169293942</v>
      </c>
      <c r="M184" s="4">
        <v>96.690944011500505</v>
      </c>
      <c r="N184" s="4">
        <v>103.27745713210989</v>
      </c>
      <c r="O184" s="4">
        <v>91.398670279939211</v>
      </c>
      <c r="P184" s="4">
        <v>92.165911255275788</v>
      </c>
      <c r="Q184" s="4">
        <v>92.259243390557188</v>
      </c>
      <c r="R184" s="4">
        <v>87.652132696599168</v>
      </c>
      <c r="S184" s="4">
        <v>92.329233335562648</v>
      </c>
      <c r="T184" s="4">
        <v>92.823398516414883</v>
      </c>
      <c r="U184" s="4">
        <v>96.95864794515245</v>
      </c>
      <c r="V184" s="4">
        <v>94.281641479347556</v>
      </c>
      <c r="W184" s="4">
        <v>91.438599540592392</v>
      </c>
      <c r="X184" s="232">
        <v>37.831682706127118</v>
      </c>
      <c r="Y184" s="59">
        <v>94.070745665672803</v>
      </c>
      <c r="Z184" s="59">
        <v>75.209194440289153</v>
      </c>
      <c r="AA184" s="233">
        <v>0</v>
      </c>
      <c r="AB184" s="28"/>
      <c r="AC184" s="28"/>
      <c r="AD184" s="28"/>
      <c r="AE184" s="28"/>
    </row>
    <row r="185" spans="1:31">
      <c r="A185" s="6" t="s">
        <v>195</v>
      </c>
      <c r="B185" s="39"/>
      <c r="C185" s="243">
        <v>76.827934458895911</v>
      </c>
      <c r="D185" s="4">
        <v>100</v>
      </c>
      <c r="E185" s="39">
        <v>82.256442645806601</v>
      </c>
      <c r="F185" s="187">
        <v>89.988643206954279</v>
      </c>
      <c r="G185" s="39">
        <v>86.78978905720686</v>
      </c>
      <c r="H185" s="39">
        <v>90.85586323659679</v>
      </c>
      <c r="I185" s="39">
        <v>80.393547102218889</v>
      </c>
      <c r="J185" s="39">
        <v>90.082852722910118</v>
      </c>
      <c r="K185" s="39">
        <v>73.11607204038755</v>
      </c>
      <c r="L185" s="39">
        <v>86.879983651542304</v>
      </c>
      <c r="M185" s="39">
        <v>90.631959782167243</v>
      </c>
      <c r="N185" s="39">
        <v>91.679525249202086</v>
      </c>
      <c r="O185" s="39">
        <v>89.928974638508066</v>
      </c>
      <c r="P185" s="39">
        <v>93.186674438005682</v>
      </c>
      <c r="Q185" s="39">
        <v>81.48546922184191</v>
      </c>
      <c r="R185" s="39">
        <v>82.886148067233009</v>
      </c>
      <c r="S185" s="39">
        <v>86.407643471969365</v>
      </c>
      <c r="T185" s="39">
        <v>87.846706378547381</v>
      </c>
      <c r="U185" s="39">
        <v>92.142242409260589</v>
      </c>
      <c r="V185" s="39">
        <v>89.287366733973656</v>
      </c>
      <c r="W185" s="39">
        <v>86.69392457951308</v>
      </c>
      <c r="X185" s="191">
        <v>58.680227279960555</v>
      </c>
      <c r="Y185" s="59">
        <v>100</v>
      </c>
      <c r="Z185" s="26">
        <v>83.289322582440448</v>
      </c>
      <c r="AA185" s="207">
        <v>24.142526529018685</v>
      </c>
      <c r="AB185" s="28"/>
      <c r="AC185" s="28"/>
      <c r="AD185" s="28"/>
      <c r="AE185" s="28"/>
    </row>
    <row r="186" spans="1:31">
      <c r="A186" s="41"/>
      <c r="B186" s="39"/>
      <c r="C186" s="243"/>
      <c r="D186" s="39"/>
      <c r="E186" s="39"/>
      <c r="F186" s="187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243"/>
      <c r="Y186" s="39"/>
      <c r="AA186" s="187"/>
      <c r="AB186" s="28"/>
      <c r="AC186" s="28"/>
      <c r="AD186" s="28"/>
      <c r="AE186" s="28"/>
    </row>
    <row r="187" spans="1:31">
      <c r="C187" s="241"/>
      <c r="F187" s="242"/>
      <c r="X187" s="241"/>
      <c r="AA187" s="242"/>
    </row>
    <row r="188" spans="1:31">
      <c r="B188" s="31" t="s">
        <v>37</v>
      </c>
      <c r="C188" s="243">
        <f>AVERAGE(C181:C185)</f>
        <v>81.800741002000748</v>
      </c>
      <c r="D188" s="39">
        <f t="shared" ref="D188:AA188" si="5">AVERAGE(D181:D185)</f>
        <v>94.162695693347601</v>
      </c>
      <c r="E188" s="39">
        <f t="shared" si="5"/>
        <v>87.041016735583</v>
      </c>
      <c r="F188" s="187">
        <f t="shared" si="5"/>
        <v>93.44878688842546</v>
      </c>
      <c r="G188" s="39">
        <f t="shared" si="5"/>
        <v>90.222448984020161</v>
      </c>
      <c r="H188" s="39">
        <f t="shared" si="5"/>
        <v>92.197270138651277</v>
      </c>
      <c r="I188" s="39">
        <f t="shared" si="5"/>
        <v>87.902416440192184</v>
      </c>
      <c r="J188" s="39">
        <f t="shared" si="5"/>
        <v>95.213292088673796</v>
      </c>
      <c r="K188" s="39">
        <f t="shared" si="5"/>
        <v>77.029158568098865</v>
      </c>
      <c r="L188" s="39">
        <f t="shared" si="5"/>
        <v>92.519019690355009</v>
      </c>
      <c r="M188" s="39">
        <f t="shared" si="5"/>
        <v>95.667848048533557</v>
      </c>
      <c r="N188" s="39">
        <f t="shared" si="5"/>
        <v>98.216258569162235</v>
      </c>
      <c r="O188" s="39">
        <f t="shared" si="5"/>
        <v>93.191521555185432</v>
      </c>
      <c r="P188" s="39">
        <f t="shared" si="5"/>
        <v>95.018368338012053</v>
      </c>
      <c r="Q188" s="39">
        <f t="shared" si="5"/>
        <v>90.745501944643934</v>
      </c>
      <c r="R188" s="39">
        <f t="shared" si="5"/>
        <v>86.277426433437313</v>
      </c>
      <c r="S188" s="39">
        <f t="shared" si="5"/>
        <v>92.023886515302777</v>
      </c>
      <c r="T188" s="39">
        <f t="shared" si="5"/>
        <v>92.797567130944756</v>
      </c>
      <c r="U188" s="39">
        <f t="shared" si="5"/>
        <v>96.580273094407673</v>
      </c>
      <c r="V188" s="39">
        <f t="shared" si="5"/>
        <v>93.958203307672619</v>
      </c>
      <c r="W188" s="39">
        <f>AVERAGE(W181:W185)</f>
        <v>91.513774482934608</v>
      </c>
      <c r="X188" s="243">
        <f t="shared" si="5"/>
        <v>46.493200444164714</v>
      </c>
      <c r="Y188" s="39">
        <f t="shared" si="5"/>
        <v>94.99232555592242</v>
      </c>
      <c r="Z188" s="39">
        <f t="shared" si="5"/>
        <v>79.658940238030652</v>
      </c>
      <c r="AA188" s="187">
        <f t="shared" si="5"/>
        <v>31.741760441134328</v>
      </c>
      <c r="AB188" s="28"/>
    </row>
    <row r="189" spans="1:31">
      <c r="B189" s="31" t="s">
        <v>36</v>
      </c>
      <c r="C189" s="243">
        <f>STDEV(C181:C185)</f>
        <v>10.593643721011874</v>
      </c>
      <c r="D189" s="39">
        <f t="shared" ref="D189:AA189" si="6">STDEV(D181:D185)</f>
        <v>8.4127112184268373</v>
      </c>
      <c r="E189" s="39">
        <f t="shared" si="6"/>
        <v>4.1664382388848118</v>
      </c>
      <c r="F189" s="187">
        <f t="shared" si="6"/>
        <v>5.6765173192464218</v>
      </c>
      <c r="G189" s="39">
        <f t="shared" si="6"/>
        <v>2.485997823748944</v>
      </c>
      <c r="H189" s="39">
        <f t="shared" si="6"/>
        <v>2.739965617167718</v>
      </c>
      <c r="I189" s="39">
        <f t="shared" si="6"/>
        <v>5.1787978814013993</v>
      </c>
      <c r="J189" s="39">
        <f t="shared" si="6"/>
        <v>3.0986036529820167</v>
      </c>
      <c r="K189" s="39">
        <f t="shared" si="6"/>
        <v>6.186943241241897</v>
      </c>
      <c r="L189" s="39">
        <f t="shared" si="6"/>
        <v>3.6592893188416307</v>
      </c>
      <c r="M189" s="39">
        <f t="shared" si="6"/>
        <v>3.1416962109300899</v>
      </c>
      <c r="N189" s="39">
        <f t="shared" si="6"/>
        <v>4.309575419976337</v>
      </c>
      <c r="O189" s="39">
        <f t="shared" si="6"/>
        <v>2.6506678615726593</v>
      </c>
      <c r="P189" s="39">
        <f t="shared" si="6"/>
        <v>2.6024903484857438</v>
      </c>
      <c r="Q189" s="39">
        <f t="shared" si="6"/>
        <v>5.4455064734824248</v>
      </c>
      <c r="R189" s="39">
        <f t="shared" si="6"/>
        <v>3.7623650478710435</v>
      </c>
      <c r="S189" s="39">
        <f t="shared" si="6"/>
        <v>3.2030378429496995</v>
      </c>
      <c r="T189" s="39">
        <f t="shared" si="6"/>
        <v>3.1452466702162853</v>
      </c>
      <c r="U189" s="39">
        <f t="shared" si="6"/>
        <v>2.768793396527836</v>
      </c>
      <c r="V189" s="39">
        <f t="shared" si="6"/>
        <v>2.8582603055867408</v>
      </c>
      <c r="W189" s="39">
        <f>STDEV(W181:W185)</f>
        <v>2.9155279104857015</v>
      </c>
      <c r="X189" s="243">
        <f t="shared" si="6"/>
        <v>11.211594161872853</v>
      </c>
      <c r="Y189" s="39">
        <f t="shared" si="6"/>
        <v>4.1699506990359092</v>
      </c>
      <c r="Z189" s="39">
        <f t="shared" si="6"/>
        <v>12.655310309630472</v>
      </c>
      <c r="AA189" s="187">
        <f t="shared" si="6"/>
        <v>32.652946896021227</v>
      </c>
      <c r="AB189" s="28"/>
    </row>
    <row r="190" spans="1:31">
      <c r="A190" s="42"/>
      <c r="B190" s="42" t="s">
        <v>35</v>
      </c>
      <c r="C190" s="244">
        <f t="shared" ref="C190:AA190" si="7">C189/C188</f>
        <v>0.12950547380436037</v>
      </c>
      <c r="D190" s="29">
        <f t="shared" si="7"/>
        <v>8.9342293744689147E-2</v>
      </c>
      <c r="E190" s="29">
        <f t="shared" si="7"/>
        <v>4.7867527231923307E-2</v>
      </c>
      <c r="F190" s="245">
        <f t="shared" si="7"/>
        <v>6.0744687098228278E-2</v>
      </c>
      <c r="G190" s="29">
        <f t="shared" si="7"/>
        <v>2.7554093817484981E-2</v>
      </c>
      <c r="H190" s="29">
        <f t="shared" si="7"/>
        <v>2.9718511329535121E-2</v>
      </c>
      <c r="I190" s="29">
        <f t="shared" si="7"/>
        <v>5.8915307350225064E-2</v>
      </c>
      <c r="J190" s="29">
        <f t="shared" si="7"/>
        <v>3.2543813841624476E-2</v>
      </c>
      <c r="K190" s="29">
        <f t="shared" si="7"/>
        <v>8.0319496619870645E-2</v>
      </c>
      <c r="L190" s="29">
        <f t="shared" si="7"/>
        <v>3.955175196504062E-2</v>
      </c>
      <c r="M190" s="29">
        <f t="shared" si="7"/>
        <v>3.2839624544875996E-2</v>
      </c>
      <c r="N190" s="29">
        <f t="shared" si="7"/>
        <v>4.3878431970014481E-2</v>
      </c>
      <c r="O190" s="29">
        <f t="shared" si="7"/>
        <v>2.8443229784621635E-2</v>
      </c>
      <c r="P190" s="29">
        <f t="shared" si="7"/>
        <v>2.7389339493052722E-2</v>
      </c>
      <c r="Q190" s="29">
        <f t="shared" si="7"/>
        <v>6.0008555319956934E-2</v>
      </c>
      <c r="R190" s="29">
        <f t="shared" si="7"/>
        <v>4.3607757015952403E-2</v>
      </c>
      <c r="S190" s="29">
        <f t="shared" si="7"/>
        <v>3.4806591682226572E-2</v>
      </c>
      <c r="T190" s="29">
        <f t="shared" si="7"/>
        <v>3.3893632855461521E-2</v>
      </c>
      <c r="U190" s="29">
        <f t="shared" si="7"/>
        <v>2.8668311942142959E-2</v>
      </c>
      <c r="V190" s="29">
        <f t="shared" si="7"/>
        <v>3.0420550893541145E-2</v>
      </c>
      <c r="W190" s="29">
        <f>W189/W188</f>
        <v>3.1858896947031576E-2</v>
      </c>
      <c r="X190" s="244">
        <f t="shared" si="7"/>
        <v>0.24114481375265276</v>
      </c>
      <c r="Y190" s="29">
        <f t="shared" si="7"/>
        <v>4.3897764104964883E-2</v>
      </c>
      <c r="Z190" s="29">
        <f t="shared" si="7"/>
        <v>0.15886867527756279</v>
      </c>
      <c r="AA190" s="245">
        <f t="shared" si="7"/>
        <v>1.028706235641111</v>
      </c>
      <c r="AB190" s="29"/>
      <c r="AC190" s="42"/>
      <c r="AD190" s="42"/>
      <c r="AE190" s="42"/>
    </row>
  </sheetData>
  <mergeCells count="4">
    <mergeCell ref="V1:Y1"/>
    <mergeCell ref="Z1:AA1"/>
    <mergeCell ref="AB1:AC1"/>
    <mergeCell ref="B1:S1"/>
  </mergeCells>
  <phoneticPr fontId="4" type="noConversion"/>
  <pageMargins left="0.75" right="0.75" top="1" bottom="1" header="0.5" footer="0.5"/>
  <pageSetup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D68"/>
  <sheetViews>
    <sheetView zoomScaleNormal="100" workbookViewId="0">
      <pane ySplit="1" topLeftCell="A2" activePane="bottomLeft" state="frozen"/>
      <selection pane="bottomLeft" activeCell="Y1" sqref="Y1"/>
    </sheetView>
  </sheetViews>
  <sheetFormatPr defaultRowHeight="12.75"/>
  <cols>
    <col min="1" max="1" width="56.85546875" customWidth="1"/>
  </cols>
  <sheetData>
    <row r="1" spans="1:30" ht="100.5" customHeight="1">
      <c r="B1" s="439" t="s">
        <v>265</v>
      </c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383"/>
      <c r="O1" s="39"/>
      <c r="P1" s="437"/>
      <c r="Q1" s="437"/>
      <c r="R1" s="437"/>
      <c r="S1" s="437"/>
      <c r="T1" s="437"/>
      <c r="U1" s="437"/>
      <c r="V1" s="437"/>
      <c r="W1" s="437"/>
      <c r="X1" s="37"/>
      <c r="Y1" s="140" t="s">
        <v>249</v>
      </c>
      <c r="Z1" s="37"/>
      <c r="AA1" s="31"/>
      <c r="AB1" s="31"/>
      <c r="AC1" s="31"/>
      <c r="AD1" s="31"/>
    </row>
    <row r="2" spans="1:30" ht="15.75">
      <c r="A2" s="382" t="s">
        <v>250</v>
      </c>
      <c r="B2" s="31"/>
      <c r="C2" s="37"/>
      <c r="D2" s="31" t="s">
        <v>207</v>
      </c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9"/>
      <c r="Z2" s="37"/>
      <c r="AA2" s="31"/>
      <c r="AB2" s="31"/>
      <c r="AC2" s="31"/>
      <c r="AD2" s="31"/>
    </row>
    <row r="3" spans="1:30" ht="15.75">
      <c r="A3" s="382"/>
      <c r="B3" s="31"/>
      <c r="C3" s="37"/>
      <c r="D3" s="31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9"/>
      <c r="Z3" s="37"/>
      <c r="AA3" s="31"/>
      <c r="AB3" s="31"/>
      <c r="AC3" s="31"/>
      <c r="AD3" s="31"/>
    </row>
    <row r="4" spans="1:30" ht="18.75">
      <c r="A4" s="9"/>
      <c r="B4" s="225"/>
      <c r="C4" s="114" t="s">
        <v>173</v>
      </c>
      <c r="D4" s="99"/>
      <c r="E4" s="99"/>
      <c r="F4" s="212"/>
      <c r="G4" s="108"/>
      <c r="H4" s="108"/>
      <c r="I4" s="108"/>
      <c r="J4" s="108"/>
      <c r="K4" s="108"/>
      <c r="L4" s="113" t="s">
        <v>172</v>
      </c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217"/>
      <c r="X4" s="112" t="s">
        <v>175</v>
      </c>
      <c r="Y4" s="130"/>
      <c r="Z4" s="218"/>
      <c r="AA4" s="19"/>
      <c r="AB4" s="19"/>
      <c r="AC4" s="19"/>
      <c r="AD4" s="19"/>
    </row>
    <row r="5" spans="1:30">
      <c r="A5" s="9"/>
      <c r="B5" s="211" t="s">
        <v>100</v>
      </c>
      <c r="C5" s="104" t="s">
        <v>176</v>
      </c>
      <c r="D5" s="99"/>
      <c r="E5" s="104" t="s">
        <v>101</v>
      </c>
      <c r="F5" s="212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217"/>
      <c r="X5" s="110"/>
      <c r="Y5" s="130"/>
      <c r="Z5" s="218"/>
      <c r="AA5" s="19"/>
      <c r="AB5" s="19"/>
      <c r="AC5" s="19"/>
      <c r="AD5" s="19"/>
    </row>
    <row r="6" spans="1:30" ht="16.5" thickBot="1">
      <c r="A6" s="73" t="s">
        <v>251</v>
      </c>
      <c r="B6" s="213" t="s">
        <v>99</v>
      </c>
      <c r="C6" s="100" t="s">
        <v>99</v>
      </c>
      <c r="D6" s="100" t="s">
        <v>1</v>
      </c>
      <c r="E6" s="101" t="s">
        <v>2</v>
      </c>
      <c r="F6" s="214" t="s">
        <v>3</v>
      </c>
      <c r="G6" s="103" t="s">
        <v>18</v>
      </c>
      <c r="H6" s="103" t="s">
        <v>19</v>
      </c>
      <c r="I6" s="103" t="s">
        <v>20</v>
      </c>
      <c r="J6" s="103" t="s">
        <v>21</v>
      </c>
      <c r="K6" s="103" t="s">
        <v>22</v>
      </c>
      <c r="L6" s="103" t="s">
        <v>23</v>
      </c>
      <c r="M6" s="103" t="s">
        <v>24</v>
      </c>
      <c r="N6" s="103" t="s">
        <v>25</v>
      </c>
      <c r="O6" s="103" t="s">
        <v>26</v>
      </c>
      <c r="P6" s="103" t="s">
        <v>27</v>
      </c>
      <c r="Q6" s="103" t="s">
        <v>28</v>
      </c>
      <c r="R6" s="103" t="s">
        <v>30</v>
      </c>
      <c r="S6" s="103" t="s">
        <v>31</v>
      </c>
      <c r="T6" s="103" t="s">
        <v>32</v>
      </c>
      <c r="U6" s="103" t="s">
        <v>33</v>
      </c>
      <c r="V6" s="102" t="s">
        <v>17</v>
      </c>
      <c r="W6" s="223" t="s">
        <v>12</v>
      </c>
      <c r="X6" s="111" t="s">
        <v>13</v>
      </c>
      <c r="Y6" s="111" t="s">
        <v>15</v>
      </c>
      <c r="Z6" s="224" t="s">
        <v>16</v>
      </c>
      <c r="AA6" s="19"/>
      <c r="AB6" s="19"/>
      <c r="AC6" s="19"/>
      <c r="AD6" s="19"/>
    </row>
    <row r="7" spans="1:30">
      <c r="A7" s="371" t="s">
        <v>45</v>
      </c>
      <c r="B7" s="61" t="s">
        <v>212</v>
      </c>
      <c r="C7" s="61">
        <v>100</v>
      </c>
      <c r="D7" s="61" t="s">
        <v>212</v>
      </c>
      <c r="E7" s="26">
        <v>100</v>
      </c>
      <c r="F7" s="207">
        <v>100</v>
      </c>
      <c r="G7" s="85">
        <v>100</v>
      </c>
      <c r="H7" s="85">
        <v>99.666338885159121</v>
      </c>
      <c r="I7" s="85">
        <v>99.678038396632175</v>
      </c>
      <c r="J7" s="85">
        <v>100</v>
      </c>
      <c r="K7" s="85">
        <v>100</v>
      </c>
      <c r="L7" s="85">
        <v>100</v>
      </c>
      <c r="M7" s="85">
        <v>90.649296961900589</v>
      </c>
      <c r="N7" s="85">
        <v>97.946654482393058</v>
      </c>
      <c r="O7" s="85">
        <v>99.413459486147488</v>
      </c>
      <c r="P7" s="85">
        <v>100</v>
      </c>
      <c r="Q7" s="85">
        <v>97.027026892086113</v>
      </c>
      <c r="R7" s="85">
        <v>100</v>
      </c>
      <c r="S7" s="85">
        <v>100</v>
      </c>
      <c r="T7" s="85">
        <v>96.774903353471288</v>
      </c>
      <c r="U7" s="85">
        <v>93.41131573687035</v>
      </c>
      <c r="V7" s="26">
        <f t="shared" ref="V7:V17" si="0">AVERAGE(G7:U7)</f>
        <v>98.304468946310678</v>
      </c>
      <c r="W7" s="345" t="s">
        <v>212</v>
      </c>
      <c r="X7" s="61" t="s">
        <v>212</v>
      </c>
      <c r="Y7" s="61" t="s">
        <v>212</v>
      </c>
      <c r="Z7" s="346" t="s">
        <v>212</v>
      </c>
      <c r="AA7" s="19"/>
      <c r="AB7" s="19"/>
      <c r="AC7" s="19"/>
      <c r="AD7" s="19"/>
    </row>
    <row r="8" spans="1:30">
      <c r="A8" s="371" t="s">
        <v>46</v>
      </c>
      <c r="B8" s="61" t="s">
        <v>212</v>
      </c>
      <c r="C8" s="61">
        <v>100</v>
      </c>
      <c r="D8" s="61" t="s">
        <v>212</v>
      </c>
      <c r="E8" s="26">
        <v>100</v>
      </c>
      <c r="F8" s="207">
        <v>100</v>
      </c>
      <c r="G8" s="85">
        <v>100</v>
      </c>
      <c r="H8" s="85">
        <v>98.667942243345507</v>
      </c>
      <c r="I8" s="85">
        <v>100</v>
      </c>
      <c r="J8" s="85">
        <v>100</v>
      </c>
      <c r="K8" s="85">
        <v>100</v>
      </c>
      <c r="L8" s="85">
        <v>100</v>
      </c>
      <c r="M8" s="85">
        <v>90.349036130851388</v>
      </c>
      <c r="N8" s="85">
        <v>99.746890886871427</v>
      </c>
      <c r="O8" s="85">
        <v>100</v>
      </c>
      <c r="P8" s="85">
        <v>100</v>
      </c>
      <c r="Q8" s="85">
        <v>100</v>
      </c>
      <c r="R8" s="85">
        <v>100</v>
      </c>
      <c r="S8" s="85">
        <v>100</v>
      </c>
      <c r="T8" s="85">
        <v>96.49958962184634</v>
      </c>
      <c r="U8" s="85">
        <v>95.318896672370514</v>
      </c>
      <c r="V8" s="26">
        <f t="shared" si="0"/>
        <v>98.705490370352351</v>
      </c>
      <c r="W8" s="345" t="s">
        <v>212</v>
      </c>
      <c r="X8" s="61" t="s">
        <v>212</v>
      </c>
      <c r="Y8" s="61" t="s">
        <v>212</v>
      </c>
      <c r="Z8" s="346" t="s">
        <v>212</v>
      </c>
      <c r="AA8" s="19"/>
      <c r="AB8" s="19"/>
      <c r="AC8" s="19"/>
      <c r="AD8" s="19"/>
    </row>
    <row r="9" spans="1:30">
      <c r="A9" s="371" t="s">
        <v>180</v>
      </c>
      <c r="B9" s="61" t="s">
        <v>212</v>
      </c>
      <c r="C9" s="61">
        <v>100</v>
      </c>
      <c r="D9" s="61" t="s">
        <v>212</v>
      </c>
      <c r="E9" s="26">
        <v>93.938983678786443</v>
      </c>
      <c r="F9" s="207">
        <v>100</v>
      </c>
      <c r="G9" s="85">
        <v>86.968737100908513</v>
      </c>
      <c r="H9" s="85">
        <v>94.866876933242679</v>
      </c>
      <c r="I9" s="85">
        <v>95.330898492913107</v>
      </c>
      <c r="J9" s="85">
        <v>93.882672078134974</v>
      </c>
      <c r="K9" s="85">
        <v>100</v>
      </c>
      <c r="L9" s="85">
        <v>82.338600284889608</v>
      </c>
      <c r="M9" s="85">
        <v>67.342539213769498</v>
      </c>
      <c r="N9" s="85">
        <v>83.364862646722102</v>
      </c>
      <c r="O9" s="85">
        <v>96.652303590326525</v>
      </c>
      <c r="P9" s="85">
        <v>65.368572127388006</v>
      </c>
      <c r="Q9" s="85">
        <v>84.831994770903989</v>
      </c>
      <c r="R9" s="85">
        <v>98.99316877319076</v>
      </c>
      <c r="S9" s="85">
        <v>97.913769300254444</v>
      </c>
      <c r="T9" s="85">
        <v>83.317522024318379</v>
      </c>
      <c r="U9" s="85">
        <v>72.606486708193032</v>
      </c>
      <c r="V9" s="26">
        <f t="shared" si="0"/>
        <v>86.918600269677043</v>
      </c>
      <c r="W9" s="345" t="s">
        <v>212</v>
      </c>
      <c r="X9" s="61" t="s">
        <v>212</v>
      </c>
      <c r="Y9" s="61" t="s">
        <v>212</v>
      </c>
      <c r="Z9" s="346" t="s">
        <v>212</v>
      </c>
      <c r="AA9" s="19"/>
      <c r="AB9" s="19"/>
      <c r="AC9" s="19"/>
      <c r="AD9" s="19"/>
    </row>
    <row r="10" spans="1:30">
      <c r="A10" s="371" t="s">
        <v>181</v>
      </c>
      <c r="B10" s="61" t="s">
        <v>212</v>
      </c>
      <c r="C10" s="61">
        <v>81.349707615000781</v>
      </c>
      <c r="D10" s="61" t="s">
        <v>212</v>
      </c>
      <c r="E10" s="26">
        <v>90.911291737386307</v>
      </c>
      <c r="F10" s="207">
        <v>78.676690575081906</v>
      </c>
      <c r="G10" s="85">
        <v>61.84107355217111</v>
      </c>
      <c r="H10" s="85">
        <v>92.999823729154684</v>
      </c>
      <c r="I10" s="85">
        <v>100</v>
      </c>
      <c r="J10" s="85">
        <v>100</v>
      </c>
      <c r="K10" s="85">
        <v>89.465210453942063</v>
      </c>
      <c r="L10" s="85">
        <v>97.770521839391833</v>
      </c>
      <c r="M10" s="85">
        <v>57.779340184909955</v>
      </c>
      <c r="N10" s="85">
        <v>83.048777926021231</v>
      </c>
      <c r="O10" s="85">
        <v>74.565908304439574</v>
      </c>
      <c r="P10" s="85">
        <v>59.445693555853495</v>
      </c>
      <c r="Q10" s="85">
        <v>77.769155043516818</v>
      </c>
      <c r="R10" s="85">
        <v>100</v>
      </c>
      <c r="S10" s="85">
        <v>100</v>
      </c>
      <c r="T10" s="85">
        <v>83.364388402353299</v>
      </c>
      <c r="U10" s="85">
        <v>69.518599779121402</v>
      </c>
      <c r="V10" s="26">
        <f t="shared" si="0"/>
        <v>83.171232851391707</v>
      </c>
      <c r="W10" s="372">
        <v>78.519605862480091</v>
      </c>
      <c r="X10" s="61" t="s">
        <v>212</v>
      </c>
      <c r="Y10" s="61" t="s">
        <v>212</v>
      </c>
      <c r="Z10" s="346" t="s">
        <v>212</v>
      </c>
      <c r="AA10" s="19"/>
      <c r="AB10" s="19"/>
      <c r="AC10" s="19"/>
      <c r="AD10" s="19"/>
    </row>
    <row r="11" spans="1:30">
      <c r="A11" s="371" t="s">
        <v>50</v>
      </c>
      <c r="B11" s="61" t="s">
        <v>212</v>
      </c>
      <c r="C11" s="61">
        <v>39.698762687934689</v>
      </c>
      <c r="D11" s="61" t="s">
        <v>212</v>
      </c>
      <c r="E11" s="26">
        <v>75.498402174632673</v>
      </c>
      <c r="F11" s="207">
        <v>61.684904767653663</v>
      </c>
      <c r="G11" s="85">
        <v>90.459555182672162</v>
      </c>
      <c r="H11" s="85">
        <v>98.193987428536161</v>
      </c>
      <c r="I11" s="85">
        <v>100</v>
      </c>
      <c r="J11" s="85">
        <v>100</v>
      </c>
      <c r="K11" s="85">
        <v>100</v>
      </c>
      <c r="L11" s="85">
        <v>97.802953678965622</v>
      </c>
      <c r="M11" s="85">
        <v>84.291725255403065</v>
      </c>
      <c r="N11" s="85">
        <v>96.295076201590661</v>
      </c>
      <c r="O11" s="85">
        <v>96.291435773230347</v>
      </c>
      <c r="P11" s="85">
        <v>72.866073453955096</v>
      </c>
      <c r="Q11" s="85">
        <v>89.769830019556821</v>
      </c>
      <c r="R11" s="85">
        <v>100</v>
      </c>
      <c r="S11" s="85">
        <v>100</v>
      </c>
      <c r="T11" s="85">
        <v>93.795183748030951</v>
      </c>
      <c r="U11" s="85">
        <v>92.468175134140765</v>
      </c>
      <c r="V11" s="26">
        <f t="shared" si="0"/>
        <v>94.148933058405433</v>
      </c>
      <c r="W11" s="345" t="s">
        <v>212</v>
      </c>
      <c r="X11" s="61" t="s">
        <v>212</v>
      </c>
      <c r="Y11" s="61" t="s">
        <v>212</v>
      </c>
      <c r="Z11" s="346" t="s">
        <v>212</v>
      </c>
      <c r="AA11" s="19"/>
      <c r="AB11" s="19"/>
      <c r="AC11" s="19"/>
      <c r="AD11" s="19"/>
    </row>
    <row r="12" spans="1:30">
      <c r="A12" s="371" t="s">
        <v>43</v>
      </c>
      <c r="B12" s="61" t="s">
        <v>212</v>
      </c>
      <c r="C12" s="61">
        <v>63.371767283136336</v>
      </c>
      <c r="D12" s="61" t="s">
        <v>212</v>
      </c>
      <c r="E12" s="26">
        <v>80.354850366893388</v>
      </c>
      <c r="F12" s="207">
        <v>70.402613094318312</v>
      </c>
      <c r="G12" s="85">
        <v>99.466973507189493</v>
      </c>
      <c r="H12" s="85">
        <v>99.700456048675733</v>
      </c>
      <c r="I12" s="85">
        <v>100</v>
      </c>
      <c r="J12" s="85">
        <v>100</v>
      </c>
      <c r="K12" s="85">
        <v>100</v>
      </c>
      <c r="L12" s="85">
        <v>100</v>
      </c>
      <c r="M12" s="85">
        <v>83.774964472231247</v>
      </c>
      <c r="N12" s="85">
        <v>98.83702704008904</v>
      </c>
      <c r="O12" s="85">
        <v>92.318331289524721</v>
      </c>
      <c r="P12" s="85">
        <v>81.183096435651748</v>
      </c>
      <c r="Q12" s="85">
        <v>93.148108523030956</v>
      </c>
      <c r="R12" s="85">
        <v>96.278720244498686</v>
      </c>
      <c r="S12" s="85">
        <v>94.088551770837327</v>
      </c>
      <c r="T12" s="85">
        <v>91.223759985271087</v>
      </c>
      <c r="U12" s="85">
        <v>86.121710895867935</v>
      </c>
      <c r="V12" s="26">
        <f t="shared" si="0"/>
        <v>94.409446680857855</v>
      </c>
      <c r="W12" s="345" t="s">
        <v>212</v>
      </c>
      <c r="X12" s="61" t="s">
        <v>212</v>
      </c>
      <c r="Y12" s="61" t="s">
        <v>212</v>
      </c>
      <c r="Z12" s="346" t="s">
        <v>212</v>
      </c>
      <c r="AA12" s="19"/>
      <c r="AB12" s="19"/>
      <c r="AC12" s="19"/>
      <c r="AD12" s="19"/>
    </row>
    <row r="13" spans="1:30">
      <c r="A13" s="371" t="s">
        <v>51</v>
      </c>
      <c r="B13" s="61" t="s">
        <v>212</v>
      </c>
      <c r="C13" s="61">
        <v>60.025812642145148</v>
      </c>
      <c r="D13" s="61" t="s">
        <v>212</v>
      </c>
      <c r="E13" s="373">
        <v>66.162634083875844</v>
      </c>
      <c r="F13" s="374">
        <v>55.178699577076777</v>
      </c>
      <c r="G13" s="375">
        <v>76.075751921202325</v>
      </c>
      <c r="H13" s="375">
        <v>94.067343008756339</v>
      </c>
      <c r="I13" s="375">
        <v>100</v>
      </c>
      <c r="J13" s="375">
        <v>100</v>
      </c>
      <c r="K13" s="375">
        <v>100</v>
      </c>
      <c r="L13" s="375">
        <v>100</v>
      </c>
      <c r="M13" s="375">
        <v>73.232173214021046</v>
      </c>
      <c r="N13" s="375">
        <v>93.049968918120769</v>
      </c>
      <c r="O13" s="375">
        <v>90.664098805195707</v>
      </c>
      <c r="P13" s="375">
        <v>15.449334933082104</v>
      </c>
      <c r="Q13" s="375">
        <v>77.235704453441301</v>
      </c>
      <c r="R13" s="375">
        <v>100</v>
      </c>
      <c r="S13" s="375">
        <v>100</v>
      </c>
      <c r="T13" s="375">
        <v>100</v>
      </c>
      <c r="U13" s="375">
        <v>85.08504945438257</v>
      </c>
      <c r="V13" s="26">
        <f t="shared" si="0"/>
        <v>86.990628313880137</v>
      </c>
      <c r="W13" s="345" t="s">
        <v>212</v>
      </c>
      <c r="X13" s="61" t="s">
        <v>212</v>
      </c>
      <c r="Y13" s="61" t="s">
        <v>212</v>
      </c>
      <c r="Z13" s="346" t="s">
        <v>212</v>
      </c>
      <c r="AA13" s="19"/>
      <c r="AB13" s="19"/>
      <c r="AC13" s="19"/>
      <c r="AD13" s="19"/>
    </row>
    <row r="14" spans="1:30">
      <c r="A14" s="371" t="s">
        <v>182</v>
      </c>
      <c r="B14" s="61" t="s">
        <v>212</v>
      </c>
      <c r="C14" s="61">
        <v>56.584088886071527</v>
      </c>
      <c r="D14" s="61" t="s">
        <v>212</v>
      </c>
      <c r="E14" s="373">
        <v>52.443817621714913</v>
      </c>
      <c r="F14" s="374">
        <v>40.851827798687111</v>
      </c>
      <c r="G14" s="375">
        <v>17.569590309806308</v>
      </c>
      <c r="H14" s="375">
        <v>9.3592115762273949</v>
      </c>
      <c r="I14" s="375">
        <v>87.980658647609829</v>
      </c>
      <c r="J14" s="375">
        <v>87.524391111257387</v>
      </c>
      <c r="K14" s="375">
        <v>45.371997116172153</v>
      </c>
      <c r="L14" s="375">
        <v>49.143228688906163</v>
      </c>
      <c r="M14" s="375">
        <v>12.90065160769602</v>
      </c>
      <c r="N14" s="375">
        <v>48.390058440870462</v>
      </c>
      <c r="O14" s="375">
        <v>50.80264400546038</v>
      </c>
      <c r="P14" s="375">
        <v>2.194112701194328</v>
      </c>
      <c r="Q14" s="375">
        <v>52.468256961480847</v>
      </c>
      <c r="R14" s="375">
        <v>81.1181480389603</v>
      </c>
      <c r="S14" s="375">
        <v>75.175283700514129</v>
      </c>
      <c r="T14" s="375">
        <v>46.348842814890219</v>
      </c>
      <c r="U14" s="375">
        <v>33.8308438169189</v>
      </c>
      <c r="V14" s="26">
        <f t="shared" si="0"/>
        <v>46.678527969197653</v>
      </c>
      <c r="W14" s="345" t="s">
        <v>212</v>
      </c>
      <c r="X14" s="61" t="s">
        <v>212</v>
      </c>
      <c r="Y14" s="61" t="s">
        <v>212</v>
      </c>
      <c r="Z14" s="346" t="s">
        <v>212</v>
      </c>
      <c r="AA14" s="19"/>
      <c r="AB14" s="19"/>
      <c r="AC14" s="19"/>
      <c r="AD14" s="19"/>
    </row>
    <row r="15" spans="1:30">
      <c r="A15" s="371" t="s">
        <v>54</v>
      </c>
      <c r="B15" s="61" t="s">
        <v>212</v>
      </c>
      <c r="C15" s="61">
        <v>43.581995113347645</v>
      </c>
      <c r="D15" s="61" t="s">
        <v>212</v>
      </c>
      <c r="E15" s="26">
        <v>91.688011589452884</v>
      </c>
      <c r="F15" s="374">
        <v>35.933107377033551</v>
      </c>
      <c r="G15" s="85">
        <v>79.478368943932765</v>
      </c>
      <c r="H15" s="85">
        <v>84.467259776243623</v>
      </c>
      <c r="I15" s="85">
        <v>100</v>
      </c>
      <c r="J15" s="85">
        <v>100</v>
      </c>
      <c r="K15" s="85">
        <v>85.885821275763647</v>
      </c>
      <c r="L15" s="85">
        <v>57.31907474239388</v>
      </c>
      <c r="M15" s="85">
        <v>90.209462287450364</v>
      </c>
      <c r="N15" s="85">
        <v>95.135047794157728</v>
      </c>
      <c r="O15" s="85">
        <v>100</v>
      </c>
      <c r="P15" s="85">
        <v>95.471818577422368</v>
      </c>
      <c r="Q15" s="85">
        <v>95.952011878003333</v>
      </c>
      <c r="R15" s="85">
        <v>100</v>
      </c>
      <c r="S15" s="85">
        <v>100</v>
      </c>
      <c r="T15" s="85">
        <v>95.078573678036037</v>
      </c>
      <c r="U15" s="85">
        <v>97.332453400948367</v>
      </c>
      <c r="V15" s="26">
        <f t="shared" si="0"/>
        <v>91.755326156956798</v>
      </c>
      <c r="W15" s="345" t="s">
        <v>212</v>
      </c>
      <c r="X15" s="61" t="s">
        <v>212</v>
      </c>
      <c r="Y15" s="61" t="s">
        <v>212</v>
      </c>
      <c r="Z15" s="346" t="s">
        <v>212</v>
      </c>
      <c r="AA15" s="19"/>
      <c r="AB15" s="19"/>
      <c r="AC15" s="19"/>
      <c r="AD15" s="19"/>
    </row>
    <row r="16" spans="1:30">
      <c r="A16" s="371" t="s">
        <v>183</v>
      </c>
      <c r="B16" s="61" t="s">
        <v>212</v>
      </c>
      <c r="C16" s="61">
        <v>36.975351138186575</v>
      </c>
      <c r="D16" s="61" t="s">
        <v>212</v>
      </c>
      <c r="E16" s="26">
        <v>95.666688724745057</v>
      </c>
      <c r="F16" s="207">
        <v>35.203516284578384</v>
      </c>
      <c r="G16" s="85">
        <v>35.982729072227187</v>
      </c>
      <c r="H16" s="85">
        <v>98.576135757215241</v>
      </c>
      <c r="I16" s="85">
        <v>100</v>
      </c>
      <c r="J16" s="85">
        <v>100</v>
      </c>
      <c r="K16" s="85">
        <v>96.086169744012153</v>
      </c>
      <c r="L16" s="85">
        <v>15.758238703941693</v>
      </c>
      <c r="M16" s="85">
        <v>59.07770021750482</v>
      </c>
      <c r="N16" s="85">
        <v>75.399529820051967</v>
      </c>
      <c r="O16" s="85">
        <v>95.974504096360604</v>
      </c>
      <c r="P16" s="85">
        <v>73.907397621338887</v>
      </c>
      <c r="Q16" s="85">
        <v>75.954509272160692</v>
      </c>
      <c r="R16" s="85">
        <v>100</v>
      </c>
      <c r="S16" s="85">
        <v>100</v>
      </c>
      <c r="T16" s="85">
        <v>64.515059324164241</v>
      </c>
      <c r="U16" s="85">
        <v>80.882732857965664</v>
      </c>
      <c r="V16" s="26">
        <f t="shared" si="0"/>
        <v>78.140980432462882</v>
      </c>
      <c r="W16" s="345" t="s">
        <v>212</v>
      </c>
      <c r="X16" s="61" t="s">
        <v>212</v>
      </c>
      <c r="Y16" s="61" t="s">
        <v>212</v>
      </c>
      <c r="Z16" s="346" t="s">
        <v>212</v>
      </c>
      <c r="AA16" s="19"/>
      <c r="AB16" s="19"/>
      <c r="AC16" s="19"/>
      <c r="AD16" s="19"/>
    </row>
    <row r="17" spans="1:30">
      <c r="A17" s="335" t="s">
        <v>193</v>
      </c>
      <c r="B17" s="61" t="s">
        <v>212</v>
      </c>
      <c r="C17" s="61">
        <v>100</v>
      </c>
      <c r="D17" s="61" t="s">
        <v>212</v>
      </c>
      <c r="E17" s="26">
        <v>94.840485722776478</v>
      </c>
      <c r="F17" s="207">
        <v>100</v>
      </c>
      <c r="G17" s="85">
        <v>100</v>
      </c>
      <c r="H17" s="85">
        <v>100</v>
      </c>
      <c r="I17" s="85">
        <v>100</v>
      </c>
      <c r="J17" s="85">
        <v>100</v>
      </c>
      <c r="K17" s="85">
        <v>100</v>
      </c>
      <c r="L17" s="85">
        <v>100</v>
      </c>
      <c r="M17" s="85">
        <v>97.827982181263565</v>
      </c>
      <c r="N17" s="85">
        <v>100</v>
      </c>
      <c r="O17" s="85">
        <v>100</v>
      </c>
      <c r="P17" s="85">
        <v>99.372344186380872</v>
      </c>
      <c r="Q17" s="85">
        <v>100</v>
      </c>
      <c r="R17" s="85">
        <v>100</v>
      </c>
      <c r="S17" s="85">
        <v>100</v>
      </c>
      <c r="T17" s="85">
        <v>100</v>
      </c>
      <c r="U17" s="85">
        <v>100</v>
      </c>
      <c r="V17" s="26">
        <f t="shared" si="0"/>
        <v>99.813355091176305</v>
      </c>
      <c r="W17" s="345" t="s">
        <v>212</v>
      </c>
      <c r="X17" s="61" t="s">
        <v>212</v>
      </c>
      <c r="Y17" s="61" t="s">
        <v>212</v>
      </c>
      <c r="Z17" s="346" t="s">
        <v>212</v>
      </c>
      <c r="AA17" s="19"/>
      <c r="AB17" s="19"/>
      <c r="AC17" s="19"/>
      <c r="AD17" s="19"/>
    </row>
    <row r="18" spans="1:30">
      <c r="A18" s="376"/>
      <c r="B18" s="61"/>
      <c r="C18" s="61"/>
      <c r="D18" s="61"/>
      <c r="E18" s="26"/>
      <c r="F18" s="207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207"/>
      <c r="W18" s="345"/>
      <c r="X18" s="61"/>
      <c r="Y18" s="61"/>
      <c r="Z18" s="346"/>
      <c r="AA18" s="19"/>
      <c r="AB18" s="19"/>
      <c r="AC18" s="19"/>
      <c r="AD18" s="19"/>
    </row>
    <row r="19" spans="1:30">
      <c r="A19" s="9"/>
      <c r="B19" s="31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9"/>
      <c r="Z19" s="37"/>
      <c r="AA19" s="31"/>
      <c r="AB19" s="31"/>
      <c r="AC19" s="31"/>
      <c r="AD19" s="31"/>
    </row>
    <row r="20" spans="1:30" ht="18.75">
      <c r="A20" s="9"/>
      <c r="B20" s="225"/>
      <c r="C20" s="114" t="s">
        <v>173</v>
      </c>
      <c r="D20" s="99"/>
      <c r="E20" s="99"/>
      <c r="F20" s="212"/>
      <c r="G20" s="108"/>
      <c r="H20" s="108"/>
      <c r="I20" s="108"/>
      <c r="J20" s="108"/>
      <c r="K20" s="108"/>
      <c r="L20" s="113" t="s">
        <v>172</v>
      </c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217"/>
      <c r="X20" s="112" t="s">
        <v>175</v>
      </c>
      <c r="Y20" s="130"/>
      <c r="Z20" s="218"/>
      <c r="AA20" s="31"/>
      <c r="AB20" s="31"/>
      <c r="AC20" s="31"/>
      <c r="AD20" s="31"/>
    </row>
    <row r="21" spans="1:30">
      <c r="A21" s="9"/>
      <c r="B21" s="211" t="s">
        <v>100</v>
      </c>
      <c r="C21" s="104" t="s">
        <v>176</v>
      </c>
      <c r="D21" s="99"/>
      <c r="E21" s="104" t="s">
        <v>101</v>
      </c>
      <c r="F21" s="212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217"/>
      <c r="X21" s="110"/>
      <c r="Y21" s="130"/>
      <c r="Z21" s="218"/>
      <c r="AA21" s="31"/>
      <c r="AB21" s="31"/>
      <c r="AC21" s="31"/>
      <c r="AD21" s="31"/>
    </row>
    <row r="22" spans="1:30" ht="16.5" thickBot="1">
      <c r="A22" s="73" t="s">
        <v>252</v>
      </c>
      <c r="B22" s="213" t="s">
        <v>99</v>
      </c>
      <c r="C22" s="100" t="s">
        <v>99</v>
      </c>
      <c r="D22" s="100" t="s">
        <v>1</v>
      </c>
      <c r="E22" s="101" t="s">
        <v>2</v>
      </c>
      <c r="F22" s="214" t="s">
        <v>3</v>
      </c>
      <c r="G22" s="103" t="s">
        <v>18</v>
      </c>
      <c r="H22" s="103" t="s">
        <v>19</v>
      </c>
      <c r="I22" s="103" t="s">
        <v>20</v>
      </c>
      <c r="J22" s="103" t="s">
        <v>21</v>
      </c>
      <c r="K22" s="103" t="s">
        <v>22</v>
      </c>
      <c r="L22" s="103" t="s">
        <v>23</v>
      </c>
      <c r="M22" s="103" t="s">
        <v>24</v>
      </c>
      <c r="N22" s="103" t="s">
        <v>25</v>
      </c>
      <c r="O22" s="103" t="s">
        <v>26</v>
      </c>
      <c r="P22" s="103" t="s">
        <v>27</v>
      </c>
      <c r="Q22" s="103" t="s">
        <v>28</v>
      </c>
      <c r="R22" s="103" t="s">
        <v>30</v>
      </c>
      <c r="S22" s="103" t="s">
        <v>31</v>
      </c>
      <c r="T22" s="103" t="s">
        <v>32</v>
      </c>
      <c r="U22" s="103" t="s">
        <v>33</v>
      </c>
      <c r="V22" s="102" t="s">
        <v>17</v>
      </c>
      <c r="W22" s="223" t="s">
        <v>12</v>
      </c>
      <c r="X22" s="111" t="s">
        <v>13</v>
      </c>
      <c r="Y22" s="111" t="s">
        <v>15</v>
      </c>
      <c r="Z22" s="224" t="s">
        <v>16</v>
      </c>
      <c r="AA22" s="9"/>
      <c r="AB22" s="9"/>
      <c r="AC22" s="9"/>
      <c r="AD22" s="9"/>
    </row>
    <row r="23" spans="1:30">
      <c r="A23" s="335" t="s">
        <v>190</v>
      </c>
      <c r="B23" s="377" t="s">
        <v>208</v>
      </c>
      <c r="C23" s="61">
        <v>100</v>
      </c>
      <c r="D23" s="61" t="s">
        <v>212</v>
      </c>
      <c r="E23" s="26">
        <v>93.590022973725823</v>
      </c>
      <c r="F23" s="207">
        <v>100</v>
      </c>
      <c r="G23" s="85">
        <v>94.316824373178818</v>
      </c>
      <c r="H23" s="85">
        <v>97.827012127086391</v>
      </c>
      <c r="I23" s="85">
        <v>93.205725654517153</v>
      </c>
      <c r="J23" s="85">
        <v>99.788482844514363</v>
      </c>
      <c r="K23" s="85">
        <v>101.70037985201505</v>
      </c>
      <c r="L23" s="85">
        <v>94.238106270149629</v>
      </c>
      <c r="M23" s="85">
        <v>87.450792915765689</v>
      </c>
      <c r="N23" s="85">
        <v>95.809785276808043</v>
      </c>
      <c r="O23" s="85">
        <v>96.309258802188637</v>
      </c>
      <c r="P23" s="85">
        <v>94.825191727776996</v>
      </c>
      <c r="Q23" s="85">
        <v>93.670269237082564</v>
      </c>
      <c r="R23" s="85">
        <v>97.942535767051666</v>
      </c>
      <c r="S23" s="85">
        <v>95.938715962147128</v>
      </c>
      <c r="T23" s="85">
        <v>92.585718826069055</v>
      </c>
      <c r="U23" s="85">
        <v>90.64317056884363</v>
      </c>
      <c r="V23" s="26">
        <f t="shared" ref="V23:V31" si="1">AVERAGE(G23:U23)</f>
        <v>95.083464680346296</v>
      </c>
      <c r="W23" s="345" t="s">
        <v>212</v>
      </c>
      <c r="X23" s="61" t="s">
        <v>212</v>
      </c>
      <c r="Y23" s="61" t="s">
        <v>212</v>
      </c>
      <c r="Z23" s="346" t="s">
        <v>212</v>
      </c>
      <c r="AA23" s="19"/>
      <c r="AB23" s="19"/>
      <c r="AC23" s="19"/>
      <c r="AD23" s="19"/>
    </row>
    <row r="24" spans="1:30">
      <c r="A24" s="335" t="s">
        <v>191</v>
      </c>
      <c r="B24" s="61" t="s">
        <v>212</v>
      </c>
      <c r="C24" s="61">
        <v>97.823853414077405</v>
      </c>
      <c r="D24" s="61" t="s">
        <v>212</v>
      </c>
      <c r="E24" s="26">
        <v>86.275850192541341</v>
      </c>
      <c r="F24" s="207">
        <v>100</v>
      </c>
      <c r="G24" s="85">
        <v>99.403896201741091</v>
      </c>
      <c r="H24" s="85">
        <v>100</v>
      </c>
      <c r="I24" s="85">
        <v>100</v>
      </c>
      <c r="J24" s="85">
        <v>100</v>
      </c>
      <c r="K24" s="85">
        <v>100</v>
      </c>
      <c r="L24" s="85">
        <v>100</v>
      </c>
      <c r="M24" s="85">
        <v>96.711210828148197</v>
      </c>
      <c r="N24" s="85">
        <v>100</v>
      </c>
      <c r="O24" s="85">
        <v>100</v>
      </c>
      <c r="P24" s="85">
        <v>94.052055046376168</v>
      </c>
      <c r="Q24" s="85">
        <v>100</v>
      </c>
      <c r="R24" s="85">
        <v>97.142164979494623</v>
      </c>
      <c r="S24" s="85">
        <v>100</v>
      </c>
      <c r="T24" s="85">
        <v>100.48093764164248</v>
      </c>
      <c r="U24" s="85">
        <v>100</v>
      </c>
      <c r="V24" s="26">
        <f t="shared" si="1"/>
        <v>99.186017646493511</v>
      </c>
      <c r="W24" s="345" t="s">
        <v>212</v>
      </c>
      <c r="X24" s="61" t="s">
        <v>212</v>
      </c>
      <c r="Y24" s="61" t="s">
        <v>212</v>
      </c>
      <c r="Z24" s="346" t="s">
        <v>212</v>
      </c>
      <c r="AA24" s="19"/>
      <c r="AB24" s="19"/>
      <c r="AC24" s="19"/>
      <c r="AD24" s="19"/>
    </row>
    <row r="25" spans="1:30">
      <c r="A25" s="335" t="s">
        <v>192</v>
      </c>
      <c r="B25" s="61" t="s">
        <v>212</v>
      </c>
      <c r="C25" s="61">
        <v>85.98544928372921</v>
      </c>
      <c r="D25" s="61" t="s">
        <v>212</v>
      </c>
      <c r="E25" s="373">
        <v>76.816547508167915</v>
      </c>
      <c r="F25" s="207">
        <v>100</v>
      </c>
      <c r="G25" s="85">
        <v>83.455969061449736</v>
      </c>
      <c r="H25" s="85">
        <v>92.536659176022184</v>
      </c>
      <c r="I25" s="85">
        <v>81.420720945636916</v>
      </c>
      <c r="J25" s="85">
        <v>90.057351250901604</v>
      </c>
      <c r="K25" s="85">
        <v>69.332946400196292</v>
      </c>
      <c r="L25" s="85">
        <v>82.937397844475143</v>
      </c>
      <c r="M25" s="85">
        <v>79.128106345606355</v>
      </c>
      <c r="N25" s="85">
        <v>91.541057566666879</v>
      </c>
      <c r="O25" s="85">
        <v>90.90439481585679</v>
      </c>
      <c r="P25" s="85">
        <v>82.860354583713217</v>
      </c>
      <c r="Q25" s="85">
        <v>89.363877893764496</v>
      </c>
      <c r="R25" s="85">
        <v>91.061704735044216</v>
      </c>
      <c r="S25" s="85">
        <v>87.767508155434186</v>
      </c>
      <c r="T25" s="85">
        <v>86.477428909761969</v>
      </c>
      <c r="U25" s="85">
        <v>80.028762463455024</v>
      </c>
      <c r="V25" s="26">
        <f t="shared" si="1"/>
        <v>85.258282676532346</v>
      </c>
      <c r="W25" s="345" t="s">
        <v>212</v>
      </c>
      <c r="X25" s="61" t="s">
        <v>212</v>
      </c>
      <c r="Y25" s="61" t="s">
        <v>212</v>
      </c>
      <c r="Z25" s="346" t="s">
        <v>212</v>
      </c>
      <c r="AA25" s="19"/>
      <c r="AB25" s="19"/>
      <c r="AC25" s="19"/>
      <c r="AD25" s="19"/>
    </row>
    <row r="26" spans="1:30">
      <c r="A26" s="335" t="s">
        <v>194</v>
      </c>
      <c r="B26" s="61" t="s">
        <v>212</v>
      </c>
      <c r="C26" s="61">
        <v>97.823853414077405</v>
      </c>
      <c r="D26" s="61" t="s">
        <v>212</v>
      </c>
      <c r="E26" s="26">
        <v>86.275850192541341</v>
      </c>
      <c r="F26" s="207">
        <v>100</v>
      </c>
      <c r="G26" s="85">
        <v>99.403896201741091</v>
      </c>
      <c r="H26" s="85">
        <v>100</v>
      </c>
      <c r="I26" s="85">
        <v>100</v>
      </c>
      <c r="J26" s="85">
        <v>100</v>
      </c>
      <c r="K26" s="85">
        <v>100</v>
      </c>
      <c r="L26" s="85">
        <v>100</v>
      </c>
      <c r="M26" s="85">
        <v>96.711210828148197</v>
      </c>
      <c r="N26" s="85">
        <v>100</v>
      </c>
      <c r="O26" s="85">
        <v>100</v>
      </c>
      <c r="P26" s="85">
        <v>94.052055046376168</v>
      </c>
      <c r="Q26" s="85">
        <v>100</v>
      </c>
      <c r="R26" s="85">
        <v>97.142164979494623</v>
      </c>
      <c r="S26" s="85">
        <v>100</v>
      </c>
      <c r="T26" s="85">
        <v>100</v>
      </c>
      <c r="U26" s="85">
        <v>100</v>
      </c>
      <c r="V26" s="26">
        <f t="shared" si="1"/>
        <v>99.153955137050673</v>
      </c>
      <c r="W26" s="345" t="s">
        <v>212</v>
      </c>
      <c r="X26" s="61" t="s">
        <v>212</v>
      </c>
      <c r="Y26" s="61" t="s">
        <v>212</v>
      </c>
      <c r="Z26" s="346" t="s">
        <v>212</v>
      </c>
      <c r="AA26" s="19"/>
      <c r="AB26" s="19"/>
      <c r="AC26" s="19"/>
      <c r="AD26" s="19"/>
    </row>
    <row r="27" spans="1:30">
      <c r="A27" s="280" t="s">
        <v>47</v>
      </c>
      <c r="B27" s="61" t="s">
        <v>212</v>
      </c>
      <c r="C27" s="61">
        <v>78.084319923505987</v>
      </c>
      <c r="D27" s="61" t="s">
        <v>212</v>
      </c>
      <c r="E27" s="26">
        <v>56.571457763653534</v>
      </c>
      <c r="F27" s="207">
        <v>67.260368422866676</v>
      </c>
      <c r="G27" s="85">
        <v>56.9793638718157</v>
      </c>
      <c r="H27" s="85">
        <v>76.867680299157087</v>
      </c>
      <c r="I27" s="85">
        <v>70.527533535315669</v>
      </c>
      <c r="J27" s="85">
        <v>69.95589308546181</v>
      </c>
      <c r="K27" s="85">
        <v>65.476623312265886</v>
      </c>
      <c r="L27" s="85">
        <v>52.875457739855619</v>
      </c>
      <c r="M27" s="85">
        <v>58.243348316674037</v>
      </c>
      <c r="N27" s="85">
        <v>60.955504835956539</v>
      </c>
      <c r="O27" s="85">
        <v>67.98439161023316</v>
      </c>
      <c r="P27" s="85">
        <v>53.606180018615582</v>
      </c>
      <c r="Q27" s="85">
        <v>60.851456259061969</v>
      </c>
      <c r="R27" s="85">
        <v>77.553172630476169</v>
      </c>
      <c r="S27" s="85">
        <v>66.166955473085423</v>
      </c>
      <c r="T27" s="85">
        <v>65.755580869909807</v>
      </c>
      <c r="U27" s="85">
        <v>40.388527816521169</v>
      </c>
      <c r="V27" s="26">
        <f t="shared" si="1"/>
        <v>62.945844644960381</v>
      </c>
      <c r="W27" s="345" t="s">
        <v>212</v>
      </c>
      <c r="X27" s="61" t="s">
        <v>212</v>
      </c>
      <c r="Y27" s="61" t="s">
        <v>212</v>
      </c>
      <c r="Z27" s="346" t="s">
        <v>212</v>
      </c>
      <c r="AA27" s="19"/>
      <c r="AB27" s="19"/>
      <c r="AC27" s="19"/>
      <c r="AD27" s="19"/>
    </row>
    <row r="28" spans="1:30">
      <c r="A28" s="280" t="s">
        <v>41</v>
      </c>
      <c r="B28" s="61" t="s">
        <v>212</v>
      </c>
      <c r="C28" s="61">
        <v>94.750353749941894</v>
      </c>
      <c r="D28" s="61" t="s">
        <v>212</v>
      </c>
      <c r="E28" s="26">
        <v>59.810157344702745</v>
      </c>
      <c r="F28" s="207">
        <v>84.025211292070537</v>
      </c>
      <c r="G28" s="85">
        <v>65.704794238394527</v>
      </c>
      <c r="H28" s="85">
        <v>76.398440304851292</v>
      </c>
      <c r="I28" s="85">
        <v>56.583086320747476</v>
      </c>
      <c r="J28" s="85">
        <v>46.980250889651778</v>
      </c>
      <c r="K28" s="85">
        <v>57.961770104159967</v>
      </c>
      <c r="L28" s="85">
        <v>42.853902682385026</v>
      </c>
      <c r="M28" s="85">
        <v>60.197462137634957</v>
      </c>
      <c r="N28" s="85">
        <v>67.199952232783687</v>
      </c>
      <c r="O28" s="85">
        <v>75.328180923060188</v>
      </c>
      <c r="P28" s="85">
        <v>44.211346518253038</v>
      </c>
      <c r="Q28" s="85">
        <v>70.620941193905068</v>
      </c>
      <c r="R28" s="85">
        <v>75.25932750983182</v>
      </c>
      <c r="S28" s="85">
        <v>61.75626488463174</v>
      </c>
      <c r="T28" s="85">
        <v>67.256271945728599</v>
      </c>
      <c r="U28" s="85">
        <v>54.530639575931716</v>
      </c>
      <c r="V28" s="26">
        <f t="shared" si="1"/>
        <v>61.522842097463389</v>
      </c>
      <c r="W28" s="345" t="s">
        <v>212</v>
      </c>
      <c r="X28" s="61" t="s">
        <v>212</v>
      </c>
      <c r="Y28" s="61" t="s">
        <v>212</v>
      </c>
      <c r="Z28" s="346" t="s">
        <v>212</v>
      </c>
      <c r="AA28" s="19"/>
      <c r="AB28" s="19"/>
      <c r="AC28" s="19"/>
      <c r="AD28" s="19"/>
    </row>
    <row r="29" spans="1:30">
      <c r="A29" s="280" t="s">
        <v>48</v>
      </c>
      <c r="B29" s="61" t="s">
        <v>212</v>
      </c>
      <c r="C29" s="61">
        <v>79.832207661770937</v>
      </c>
      <c r="D29" s="61" t="s">
        <v>212</v>
      </c>
      <c r="E29" s="26">
        <v>64.550989847816837</v>
      </c>
      <c r="F29" s="207">
        <v>94.091010279939738</v>
      </c>
      <c r="G29" s="85">
        <v>74.018141260787459</v>
      </c>
      <c r="H29" s="85">
        <v>81.065061156262502</v>
      </c>
      <c r="I29" s="85">
        <v>54.046687880768808</v>
      </c>
      <c r="J29" s="85">
        <v>75.242227762332149</v>
      </c>
      <c r="K29" s="85">
        <v>67.275015962398882</v>
      </c>
      <c r="L29" s="85">
        <v>59.010045198069882</v>
      </c>
      <c r="M29" s="85">
        <v>54.934954121823665</v>
      </c>
      <c r="N29" s="85">
        <v>73.874388484259342</v>
      </c>
      <c r="O29" s="85">
        <v>71.495779436810949</v>
      </c>
      <c r="P29" s="85">
        <v>67.853551059722619</v>
      </c>
      <c r="Q29" s="85">
        <v>73.910673882097811</v>
      </c>
      <c r="R29" s="85">
        <v>76.748696702131326</v>
      </c>
      <c r="S29" s="85">
        <v>71.356864414034575</v>
      </c>
      <c r="T29" s="85">
        <v>73.859076846755841</v>
      </c>
      <c r="U29" s="85">
        <v>61.736516507784785</v>
      </c>
      <c r="V29" s="26">
        <f>AVERAGE(G29:U29)</f>
        <v>69.09517871173604</v>
      </c>
      <c r="W29" s="345" t="s">
        <v>212</v>
      </c>
      <c r="X29" s="61" t="s">
        <v>212</v>
      </c>
      <c r="Y29" s="61" t="s">
        <v>212</v>
      </c>
      <c r="Z29" s="346" t="s">
        <v>212</v>
      </c>
      <c r="AA29" s="19"/>
      <c r="AB29" s="19"/>
      <c r="AC29" s="19"/>
      <c r="AD29" s="19"/>
    </row>
    <row r="30" spans="1:30">
      <c r="A30" s="280" t="s">
        <v>52</v>
      </c>
      <c r="B30" s="61" t="s">
        <v>212</v>
      </c>
      <c r="C30" s="61">
        <v>26.578948599729646</v>
      </c>
      <c r="D30" s="61" t="s">
        <v>212</v>
      </c>
      <c r="E30" s="373">
        <v>49.618065684527238</v>
      </c>
      <c r="F30" s="207">
        <v>38.697508087923936</v>
      </c>
      <c r="G30" s="85">
        <v>89.4705119690327</v>
      </c>
      <c r="H30" s="85">
        <v>100</v>
      </c>
      <c r="I30" s="85">
        <v>100</v>
      </c>
      <c r="J30" s="85">
        <v>100</v>
      </c>
      <c r="K30" s="85">
        <v>100</v>
      </c>
      <c r="L30" s="85">
        <v>100</v>
      </c>
      <c r="M30" s="85">
        <v>89.622315592302868</v>
      </c>
      <c r="N30" s="85">
        <v>100</v>
      </c>
      <c r="O30" s="85">
        <v>100</v>
      </c>
      <c r="P30" s="375">
        <v>3.8761457241452888</v>
      </c>
      <c r="Q30" s="85">
        <v>91.393469903783938</v>
      </c>
      <c r="R30" s="85">
        <v>100.15231347826747</v>
      </c>
      <c r="S30" s="85">
        <v>100</v>
      </c>
      <c r="T30" s="85">
        <v>100</v>
      </c>
      <c r="U30" s="85">
        <v>96.984368023435223</v>
      </c>
      <c r="V30" s="26">
        <f t="shared" si="1"/>
        <v>91.433274979397837</v>
      </c>
      <c r="W30" s="345" t="s">
        <v>212</v>
      </c>
      <c r="X30" s="61" t="s">
        <v>212</v>
      </c>
      <c r="Y30" s="61" t="s">
        <v>212</v>
      </c>
      <c r="Z30" s="346" t="s">
        <v>212</v>
      </c>
      <c r="AA30" s="19"/>
      <c r="AB30" s="19"/>
      <c r="AC30" s="19"/>
      <c r="AD30" s="19"/>
    </row>
    <row r="31" spans="1:30">
      <c r="A31" s="335" t="s">
        <v>193</v>
      </c>
      <c r="B31" s="61" t="s">
        <v>212</v>
      </c>
      <c r="C31" s="61">
        <v>92.536057285165214</v>
      </c>
      <c r="D31" s="61" t="s">
        <v>212</v>
      </c>
      <c r="E31" s="26">
        <v>90.319548272096497</v>
      </c>
      <c r="F31" s="207">
        <v>100</v>
      </c>
      <c r="G31" s="85">
        <v>100</v>
      </c>
      <c r="H31" s="85">
        <v>100</v>
      </c>
      <c r="I31" s="85">
        <v>100</v>
      </c>
      <c r="J31" s="85">
        <v>100</v>
      </c>
      <c r="K31" s="85">
        <v>100</v>
      </c>
      <c r="L31" s="85">
        <v>100</v>
      </c>
      <c r="M31" s="85">
        <v>100</v>
      </c>
      <c r="N31" s="85">
        <v>100</v>
      </c>
      <c r="O31" s="85">
        <v>100</v>
      </c>
      <c r="P31" s="85">
        <v>93.502597092863255</v>
      </c>
      <c r="Q31" s="85">
        <v>100</v>
      </c>
      <c r="R31" s="85">
        <v>100</v>
      </c>
      <c r="S31" s="85">
        <v>100</v>
      </c>
      <c r="T31" s="85">
        <v>100</v>
      </c>
      <c r="U31" s="85">
        <v>100</v>
      </c>
      <c r="V31" s="26">
        <f t="shared" si="1"/>
        <v>99.566839806190885</v>
      </c>
      <c r="W31" s="345" t="s">
        <v>212</v>
      </c>
      <c r="X31" s="61" t="s">
        <v>212</v>
      </c>
      <c r="Y31" s="61" t="s">
        <v>212</v>
      </c>
      <c r="Z31" s="346" t="s">
        <v>212</v>
      </c>
      <c r="AA31" s="19"/>
      <c r="AB31" s="19"/>
      <c r="AC31" s="19"/>
      <c r="AD31" s="19"/>
    </row>
    <row r="32" spans="1:30">
      <c r="A32" s="342"/>
      <c r="B32" s="61"/>
      <c r="C32" s="61"/>
      <c r="D32" s="61"/>
      <c r="E32" s="378"/>
      <c r="F32" s="26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26"/>
      <c r="W32" s="345"/>
      <c r="X32" s="61"/>
      <c r="Y32" s="61"/>
      <c r="Z32" s="346"/>
      <c r="AA32" s="19"/>
      <c r="AB32" s="19"/>
      <c r="AC32" s="19"/>
      <c r="AD32" s="19"/>
    </row>
    <row r="33" spans="1:30" ht="18.75">
      <c r="A33" s="9"/>
      <c r="B33" s="225"/>
      <c r="C33" s="114" t="s">
        <v>173</v>
      </c>
      <c r="D33" s="99"/>
      <c r="E33" s="99"/>
      <c r="F33" s="212"/>
      <c r="G33" s="108"/>
      <c r="H33" s="108"/>
      <c r="I33" s="108"/>
      <c r="J33" s="108"/>
      <c r="K33" s="108"/>
      <c r="L33" s="113" t="s">
        <v>172</v>
      </c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217"/>
      <c r="X33" s="112" t="s">
        <v>175</v>
      </c>
      <c r="Y33" s="130"/>
      <c r="Z33" s="218"/>
      <c r="AA33" s="19"/>
      <c r="AB33" s="19"/>
      <c r="AC33" s="19"/>
      <c r="AD33" s="19"/>
    </row>
    <row r="34" spans="1:30">
      <c r="A34" s="9"/>
      <c r="B34" s="211" t="s">
        <v>100</v>
      </c>
      <c r="C34" s="104" t="s">
        <v>176</v>
      </c>
      <c r="D34" s="99"/>
      <c r="E34" s="104" t="s">
        <v>101</v>
      </c>
      <c r="F34" s="212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217"/>
      <c r="X34" s="110"/>
      <c r="Y34" s="130"/>
      <c r="Z34" s="218"/>
      <c r="AA34" s="19"/>
      <c r="AB34" s="19"/>
      <c r="AC34" s="19"/>
      <c r="AD34" s="19"/>
    </row>
    <row r="35" spans="1:30" ht="16.5" thickBot="1">
      <c r="A35" s="73" t="s">
        <v>253</v>
      </c>
      <c r="B35" s="213" t="s">
        <v>99</v>
      </c>
      <c r="C35" s="100" t="s">
        <v>99</v>
      </c>
      <c r="D35" s="100" t="s">
        <v>1</v>
      </c>
      <c r="E35" s="101" t="s">
        <v>2</v>
      </c>
      <c r="F35" s="214" t="s">
        <v>3</v>
      </c>
      <c r="G35" s="103" t="s">
        <v>18</v>
      </c>
      <c r="H35" s="103" t="s">
        <v>19</v>
      </c>
      <c r="I35" s="103" t="s">
        <v>20</v>
      </c>
      <c r="J35" s="103" t="s">
        <v>21</v>
      </c>
      <c r="K35" s="103" t="s">
        <v>22</v>
      </c>
      <c r="L35" s="103" t="s">
        <v>23</v>
      </c>
      <c r="M35" s="103" t="s">
        <v>24</v>
      </c>
      <c r="N35" s="103" t="s">
        <v>25</v>
      </c>
      <c r="O35" s="103" t="s">
        <v>26</v>
      </c>
      <c r="P35" s="103" t="s">
        <v>27</v>
      </c>
      <c r="Q35" s="103" t="s">
        <v>28</v>
      </c>
      <c r="R35" s="103" t="s">
        <v>30</v>
      </c>
      <c r="S35" s="103" t="s">
        <v>31</v>
      </c>
      <c r="T35" s="103" t="s">
        <v>32</v>
      </c>
      <c r="U35" s="103" t="s">
        <v>33</v>
      </c>
      <c r="V35" s="102" t="s">
        <v>17</v>
      </c>
      <c r="W35" s="223" t="s">
        <v>12</v>
      </c>
      <c r="X35" s="111" t="s">
        <v>13</v>
      </c>
      <c r="Y35" s="111" t="s">
        <v>15</v>
      </c>
      <c r="Z35" s="224" t="s">
        <v>16</v>
      </c>
      <c r="AA35" s="19"/>
      <c r="AB35" s="19"/>
      <c r="AC35" s="19"/>
      <c r="AD35" s="19"/>
    </row>
    <row r="36" spans="1:30">
      <c r="A36" s="280" t="s">
        <v>42</v>
      </c>
      <c r="B36" s="61" t="s">
        <v>212</v>
      </c>
      <c r="C36" s="61">
        <v>84.878468930718682</v>
      </c>
      <c r="D36" s="61" t="s">
        <v>212</v>
      </c>
      <c r="E36" s="26">
        <v>79.207536202757737</v>
      </c>
      <c r="F36" s="207">
        <v>85.050359299311054</v>
      </c>
      <c r="G36" s="85">
        <v>94.579821230776474</v>
      </c>
      <c r="H36" s="85">
        <v>97.758057577575144</v>
      </c>
      <c r="I36" s="85">
        <v>100</v>
      </c>
      <c r="J36" s="85">
        <v>95.807579961827443</v>
      </c>
      <c r="K36" s="85">
        <v>100</v>
      </c>
      <c r="L36" s="85">
        <v>100</v>
      </c>
      <c r="M36" s="85">
        <v>85.664522935242942</v>
      </c>
      <c r="N36" s="85">
        <v>93.224143848404893</v>
      </c>
      <c r="O36" s="85">
        <v>98.592629038371044</v>
      </c>
      <c r="P36" s="85">
        <v>77.164607586055467</v>
      </c>
      <c r="Q36" s="85">
        <v>91.986786964133429</v>
      </c>
      <c r="R36" s="85">
        <v>98.29359551830396</v>
      </c>
      <c r="S36" s="85">
        <v>98.064994212006567</v>
      </c>
      <c r="T36" s="85">
        <v>92.482702072014277</v>
      </c>
      <c r="U36" s="85">
        <v>92.56300734643817</v>
      </c>
      <c r="V36" s="26">
        <f t="shared" ref="V36:V41" si="2">AVERAGE(G36:U36)</f>
        <v>94.412163219409976</v>
      </c>
      <c r="W36" s="345" t="s">
        <v>212</v>
      </c>
      <c r="X36" s="61" t="s">
        <v>212</v>
      </c>
      <c r="Y36" s="61" t="s">
        <v>212</v>
      </c>
      <c r="Z36" s="346" t="s">
        <v>212</v>
      </c>
      <c r="AA36" s="19"/>
      <c r="AB36" s="19"/>
      <c r="AC36" s="19"/>
      <c r="AD36" s="19"/>
    </row>
    <row r="37" spans="1:30">
      <c r="A37" s="280" t="s">
        <v>49</v>
      </c>
      <c r="B37" s="61" t="s">
        <v>212</v>
      </c>
      <c r="C37" s="61">
        <v>73.970087178211671</v>
      </c>
      <c r="D37" s="61" t="s">
        <v>212</v>
      </c>
      <c r="E37" s="26">
        <v>86.150110297409455</v>
      </c>
      <c r="F37" s="207">
        <v>82.215452277783285</v>
      </c>
      <c r="G37" s="85">
        <v>100</v>
      </c>
      <c r="H37" s="85">
        <v>98.250925075196292</v>
      </c>
      <c r="I37" s="85">
        <v>100</v>
      </c>
      <c r="J37" s="85">
        <v>96.951583813547401</v>
      </c>
      <c r="K37" s="85">
        <v>100</v>
      </c>
      <c r="L37" s="85">
        <v>100</v>
      </c>
      <c r="M37" s="85">
        <v>97.448801466223202</v>
      </c>
      <c r="N37" s="85">
        <v>100</v>
      </c>
      <c r="O37" s="85">
        <v>97.307072535309942</v>
      </c>
      <c r="P37" s="85">
        <v>84.44703378117066</v>
      </c>
      <c r="Q37" s="85">
        <v>96.850838259254019</v>
      </c>
      <c r="R37" s="85">
        <v>97.236454167453232</v>
      </c>
      <c r="S37" s="85">
        <v>98.951920758576293</v>
      </c>
      <c r="T37" s="85">
        <v>100.03100918405909</v>
      </c>
      <c r="U37" s="85">
        <v>100</v>
      </c>
      <c r="V37" s="26">
        <f t="shared" si="2"/>
        <v>97.83170926938601</v>
      </c>
      <c r="W37" s="345" t="s">
        <v>212</v>
      </c>
      <c r="X37" s="61" t="s">
        <v>212</v>
      </c>
      <c r="Y37" s="61" t="s">
        <v>212</v>
      </c>
      <c r="Z37" s="346" t="s">
        <v>212</v>
      </c>
      <c r="AA37" s="19"/>
      <c r="AB37" s="19"/>
      <c r="AC37" s="19"/>
      <c r="AD37" s="19"/>
    </row>
    <row r="38" spans="1:30">
      <c r="A38" s="280" t="s">
        <v>44</v>
      </c>
      <c r="B38" s="61" t="s">
        <v>212</v>
      </c>
      <c r="C38" s="61">
        <v>47.165119955703972</v>
      </c>
      <c r="D38" s="61" t="s">
        <v>212</v>
      </c>
      <c r="E38" s="26">
        <v>84.963389053788148</v>
      </c>
      <c r="F38" s="207">
        <v>71.760645616107979</v>
      </c>
      <c r="G38" s="85">
        <v>94.020470571186735</v>
      </c>
      <c r="H38" s="85">
        <v>89.051465885446191</v>
      </c>
      <c r="I38" s="85">
        <v>100</v>
      </c>
      <c r="J38" s="85">
        <v>100</v>
      </c>
      <c r="K38" s="85">
        <v>91.970644379661167</v>
      </c>
      <c r="L38" s="85">
        <v>60.779752648717739</v>
      </c>
      <c r="M38" s="85">
        <v>84.80502381645087</v>
      </c>
      <c r="N38" s="85">
        <v>91.959131232208776</v>
      </c>
      <c r="O38" s="85">
        <v>100</v>
      </c>
      <c r="P38" s="375">
        <v>49.26143295358861</v>
      </c>
      <c r="Q38" s="85">
        <v>87.965069319501154</v>
      </c>
      <c r="R38" s="85">
        <v>100</v>
      </c>
      <c r="S38" s="85">
        <v>100</v>
      </c>
      <c r="T38" s="85">
        <v>89.026951061987972</v>
      </c>
      <c r="U38" s="85">
        <v>91.663929375522429</v>
      </c>
      <c r="V38" s="26">
        <f t="shared" si="2"/>
        <v>88.70025808295145</v>
      </c>
      <c r="W38" s="345" t="s">
        <v>212</v>
      </c>
      <c r="X38" s="61" t="s">
        <v>212</v>
      </c>
      <c r="Y38" s="61" t="s">
        <v>212</v>
      </c>
      <c r="Z38" s="346" t="s">
        <v>212</v>
      </c>
      <c r="AA38" s="19"/>
      <c r="AB38" s="19"/>
      <c r="AC38" s="19"/>
      <c r="AD38" s="19"/>
    </row>
    <row r="39" spans="1:30">
      <c r="A39" s="280" t="s">
        <v>53</v>
      </c>
      <c r="B39" s="61" t="s">
        <v>212</v>
      </c>
      <c r="C39" s="61">
        <v>22.858079934874549</v>
      </c>
      <c r="D39" s="61" t="s">
        <v>212</v>
      </c>
      <c r="E39" s="61">
        <v>66.559709877261739</v>
      </c>
      <c r="F39" s="346">
        <v>28.865008883550175</v>
      </c>
      <c r="G39" s="61">
        <v>86.234793303899352</v>
      </c>
      <c r="H39" s="61">
        <v>76.483305547639318</v>
      </c>
      <c r="I39" s="61">
        <v>100</v>
      </c>
      <c r="J39" s="61">
        <v>100</v>
      </c>
      <c r="K39" s="61">
        <v>86.36790934539664</v>
      </c>
      <c r="L39" s="61">
        <v>86.175111377540603</v>
      </c>
      <c r="M39" s="61">
        <v>91.75063260999697</v>
      </c>
      <c r="N39" s="61">
        <v>97.734912037322005</v>
      </c>
      <c r="O39" s="61">
        <v>55.79694594083265</v>
      </c>
      <c r="P39" s="61">
        <v>0</v>
      </c>
      <c r="Q39" s="61">
        <v>81.018123542295584</v>
      </c>
      <c r="R39" s="61">
        <v>100</v>
      </c>
      <c r="S39" s="61">
        <v>100</v>
      </c>
      <c r="T39" s="61">
        <v>100</v>
      </c>
      <c r="U39" s="61">
        <v>97.851080515637449</v>
      </c>
      <c r="V39" s="26">
        <f t="shared" si="2"/>
        <v>83.960854281370715</v>
      </c>
      <c r="W39" s="345" t="s">
        <v>212</v>
      </c>
      <c r="X39" s="61" t="s">
        <v>212</v>
      </c>
      <c r="Y39" s="61" t="s">
        <v>212</v>
      </c>
      <c r="Z39" s="346" t="s">
        <v>212</v>
      </c>
      <c r="AA39" s="19"/>
      <c r="AB39" s="19"/>
      <c r="AC39" s="19"/>
      <c r="AD39" s="19"/>
    </row>
    <row r="40" spans="1:30">
      <c r="A40" s="280" t="s">
        <v>55</v>
      </c>
      <c r="B40" s="61" t="s">
        <v>212</v>
      </c>
      <c r="C40" s="61">
        <v>35.994875709358816</v>
      </c>
      <c r="D40" s="61" t="s">
        <v>212</v>
      </c>
      <c r="E40" s="26">
        <v>100</v>
      </c>
      <c r="F40" s="346">
        <v>38.056357871013866</v>
      </c>
      <c r="G40" s="85">
        <v>100</v>
      </c>
      <c r="H40" s="85">
        <v>100.39006386541179</v>
      </c>
      <c r="I40" s="85">
        <v>100</v>
      </c>
      <c r="J40" s="85">
        <v>100</v>
      </c>
      <c r="K40" s="85">
        <v>100</v>
      </c>
      <c r="L40" s="85">
        <v>100</v>
      </c>
      <c r="M40" s="85">
        <v>100</v>
      </c>
      <c r="N40" s="85">
        <v>100</v>
      </c>
      <c r="O40" s="85">
        <v>100</v>
      </c>
      <c r="P40" s="85">
        <v>41.872646026113493</v>
      </c>
      <c r="Q40" s="85">
        <v>100</v>
      </c>
      <c r="R40" s="85">
        <v>100</v>
      </c>
      <c r="S40" s="85">
        <v>100</v>
      </c>
      <c r="T40" s="85">
        <v>100</v>
      </c>
      <c r="U40" s="85">
        <v>100</v>
      </c>
      <c r="V40" s="26">
        <f t="shared" si="2"/>
        <v>96.150847326101683</v>
      </c>
      <c r="W40" s="345" t="s">
        <v>212</v>
      </c>
      <c r="X40" s="61" t="s">
        <v>212</v>
      </c>
      <c r="Y40" s="61" t="s">
        <v>212</v>
      </c>
      <c r="Z40" s="346" t="s">
        <v>212</v>
      </c>
      <c r="AA40" s="19"/>
      <c r="AB40" s="19"/>
      <c r="AC40" s="19"/>
      <c r="AD40" s="19"/>
    </row>
    <row r="41" spans="1:30">
      <c r="A41" s="335" t="s">
        <v>193</v>
      </c>
      <c r="B41" s="61" t="s">
        <v>212</v>
      </c>
      <c r="C41" s="61">
        <v>94.61489735605825</v>
      </c>
      <c r="D41" s="61" t="s">
        <v>212</v>
      </c>
      <c r="E41" s="26">
        <v>88.28909707404982</v>
      </c>
      <c r="F41" s="346">
        <v>100</v>
      </c>
      <c r="G41" s="85">
        <v>100</v>
      </c>
      <c r="H41" s="85">
        <v>99.254959056497725</v>
      </c>
      <c r="I41" s="85">
        <v>100</v>
      </c>
      <c r="J41" s="85">
        <v>100</v>
      </c>
      <c r="K41" s="85">
        <v>100</v>
      </c>
      <c r="L41" s="85">
        <v>98.741020430334672</v>
      </c>
      <c r="M41" s="85">
        <v>95.454003644192696</v>
      </c>
      <c r="N41" s="85">
        <v>100</v>
      </c>
      <c r="O41" s="85">
        <v>100.30905937493969</v>
      </c>
      <c r="P41" s="85">
        <v>95.763226841402869</v>
      </c>
      <c r="Q41" s="85">
        <v>98.841356820265219</v>
      </c>
      <c r="R41" s="85">
        <v>100</v>
      </c>
      <c r="S41" s="85">
        <v>100</v>
      </c>
      <c r="T41" s="85">
        <v>98.029771315707748</v>
      </c>
      <c r="U41" s="85">
        <v>99.687269922803068</v>
      </c>
      <c r="V41" s="26">
        <f t="shared" si="2"/>
        <v>99.072044493742908</v>
      </c>
      <c r="W41" s="345" t="s">
        <v>212</v>
      </c>
      <c r="X41" s="61" t="s">
        <v>212</v>
      </c>
      <c r="Y41" s="61" t="s">
        <v>212</v>
      </c>
      <c r="Z41" s="346" t="s">
        <v>212</v>
      </c>
      <c r="AA41" s="19"/>
      <c r="AB41" s="19"/>
      <c r="AC41" s="19"/>
      <c r="AD41" s="19"/>
    </row>
    <row r="42" spans="1:30">
      <c r="A42" s="342"/>
      <c r="B42" s="19"/>
      <c r="C42" s="379"/>
      <c r="D42" s="29"/>
      <c r="E42" s="26"/>
      <c r="F42" s="26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29"/>
      <c r="W42" s="30"/>
      <c r="X42" s="30"/>
      <c r="Y42" s="30"/>
      <c r="Z42" s="30"/>
      <c r="AA42" s="19"/>
      <c r="AB42" s="19"/>
      <c r="AC42" s="19"/>
      <c r="AD42" s="19"/>
    </row>
    <row r="43" spans="1:30" ht="18.75">
      <c r="A43" s="31"/>
      <c r="B43" s="31"/>
      <c r="C43" s="114" t="s">
        <v>178</v>
      </c>
      <c r="D43" s="99"/>
      <c r="E43" s="99"/>
      <c r="F43" s="99"/>
      <c r="G43" s="108"/>
      <c r="H43" s="108"/>
      <c r="I43" s="108"/>
      <c r="J43" s="108"/>
      <c r="K43" s="108"/>
      <c r="L43" s="113" t="s">
        <v>172</v>
      </c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10"/>
      <c r="X43" s="112" t="s">
        <v>175</v>
      </c>
      <c r="Y43" s="130"/>
      <c r="Z43" s="110"/>
      <c r="AA43" s="31"/>
      <c r="AB43" s="31"/>
      <c r="AC43" s="31"/>
      <c r="AD43" s="31"/>
    </row>
    <row r="44" spans="1:30">
      <c r="A44" s="31"/>
      <c r="B44" s="31"/>
      <c r="C44" s="104" t="s">
        <v>176</v>
      </c>
      <c r="D44" s="99"/>
      <c r="E44" s="104" t="s">
        <v>101</v>
      </c>
      <c r="F44" s="99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10"/>
      <c r="X44" s="110"/>
      <c r="Y44" s="130"/>
      <c r="Z44" s="110"/>
      <c r="AA44" s="31"/>
      <c r="AB44" s="31"/>
      <c r="AC44" s="31"/>
      <c r="AD44" s="31"/>
    </row>
    <row r="45" spans="1:30" ht="16.5" thickBot="1">
      <c r="A45" s="71" t="s">
        <v>98</v>
      </c>
      <c r="B45" s="75"/>
      <c r="C45" s="100" t="s">
        <v>99</v>
      </c>
      <c r="D45" s="100" t="s">
        <v>1</v>
      </c>
      <c r="E45" s="101" t="s">
        <v>2</v>
      </c>
      <c r="F45" s="101" t="s">
        <v>3</v>
      </c>
      <c r="G45" s="103" t="s">
        <v>18</v>
      </c>
      <c r="H45" s="103" t="s">
        <v>19</v>
      </c>
      <c r="I45" s="103" t="s">
        <v>20</v>
      </c>
      <c r="J45" s="103" t="s">
        <v>21</v>
      </c>
      <c r="K45" s="103" t="s">
        <v>22</v>
      </c>
      <c r="L45" s="103" t="s">
        <v>23</v>
      </c>
      <c r="M45" s="103" t="s">
        <v>24</v>
      </c>
      <c r="N45" s="103" t="s">
        <v>25</v>
      </c>
      <c r="O45" s="103" t="s">
        <v>26</v>
      </c>
      <c r="P45" s="103" t="s">
        <v>27</v>
      </c>
      <c r="Q45" s="103" t="s">
        <v>28</v>
      </c>
      <c r="R45" s="103" t="s">
        <v>30</v>
      </c>
      <c r="S45" s="103" t="s">
        <v>31</v>
      </c>
      <c r="T45" s="103" t="s">
        <v>32</v>
      </c>
      <c r="U45" s="103" t="s">
        <v>33</v>
      </c>
      <c r="V45" s="102" t="s">
        <v>17</v>
      </c>
      <c r="W45" s="111" t="s">
        <v>12</v>
      </c>
      <c r="X45" s="111" t="s">
        <v>13</v>
      </c>
      <c r="Y45" s="111" t="s">
        <v>15</v>
      </c>
      <c r="Z45" s="111" t="s">
        <v>16</v>
      </c>
      <c r="AA45" s="9"/>
      <c r="AB45" s="9"/>
      <c r="AC45" s="9"/>
      <c r="AD45" s="9"/>
    </row>
    <row r="46" spans="1:30">
      <c r="A46" s="141" t="s">
        <v>195</v>
      </c>
      <c r="B46" s="10"/>
      <c r="C46" s="188" t="s">
        <v>212</v>
      </c>
      <c r="D46" s="288" t="s">
        <v>212</v>
      </c>
      <c r="E46" s="380">
        <f>E17</f>
        <v>94.840485722776478</v>
      </c>
      <c r="F46" s="381">
        <f t="shared" ref="F46:V46" si="3">F17</f>
        <v>100</v>
      </c>
      <c r="G46" s="59">
        <f t="shared" si="3"/>
        <v>100</v>
      </c>
      <c r="H46" s="59">
        <f t="shared" si="3"/>
        <v>100</v>
      </c>
      <c r="I46" s="59">
        <f t="shared" si="3"/>
        <v>100</v>
      </c>
      <c r="J46" s="59">
        <f t="shared" si="3"/>
        <v>100</v>
      </c>
      <c r="K46" s="59">
        <f t="shared" si="3"/>
        <v>100</v>
      </c>
      <c r="L46" s="59">
        <f t="shared" si="3"/>
        <v>100</v>
      </c>
      <c r="M46" s="59">
        <f t="shared" si="3"/>
        <v>97.827982181263565</v>
      </c>
      <c r="N46" s="59">
        <f t="shared" si="3"/>
        <v>100</v>
      </c>
      <c r="O46" s="59">
        <f t="shared" si="3"/>
        <v>100</v>
      </c>
      <c r="P46" s="59">
        <f t="shared" si="3"/>
        <v>99.372344186380872</v>
      </c>
      <c r="Q46" s="59">
        <f t="shared" si="3"/>
        <v>100</v>
      </c>
      <c r="R46" s="59">
        <f t="shared" si="3"/>
        <v>100</v>
      </c>
      <c r="S46" s="59">
        <f t="shared" si="3"/>
        <v>100</v>
      </c>
      <c r="T46" s="59">
        <f t="shared" si="3"/>
        <v>100</v>
      </c>
      <c r="U46" s="59">
        <f t="shared" si="3"/>
        <v>100</v>
      </c>
      <c r="V46" s="59">
        <f t="shared" si="3"/>
        <v>99.813355091176305</v>
      </c>
      <c r="W46" s="188" t="s">
        <v>212</v>
      </c>
      <c r="X46" s="288" t="s">
        <v>212</v>
      </c>
      <c r="Y46" s="288" t="s">
        <v>212</v>
      </c>
      <c r="Z46" s="289" t="s">
        <v>212</v>
      </c>
      <c r="AA46" s="414"/>
      <c r="AB46" s="413"/>
      <c r="AC46" s="413"/>
      <c r="AD46" s="413"/>
    </row>
    <row r="47" spans="1:30">
      <c r="A47" s="141" t="s">
        <v>195</v>
      </c>
      <c r="B47" s="28"/>
      <c r="C47" s="243" t="s">
        <v>212</v>
      </c>
      <c r="D47" s="39" t="s">
        <v>212</v>
      </c>
      <c r="E47" s="26">
        <f>E31</f>
        <v>90.319548272096497</v>
      </c>
      <c r="F47" s="207">
        <f t="shared" ref="F47:V47" si="4">F31</f>
        <v>100</v>
      </c>
      <c r="G47" s="26">
        <f t="shared" si="4"/>
        <v>100</v>
      </c>
      <c r="H47" s="26">
        <f t="shared" si="4"/>
        <v>100</v>
      </c>
      <c r="I47" s="26">
        <f t="shared" si="4"/>
        <v>100</v>
      </c>
      <c r="J47" s="26">
        <f t="shared" si="4"/>
        <v>100</v>
      </c>
      <c r="K47" s="26">
        <f t="shared" si="4"/>
        <v>100</v>
      </c>
      <c r="L47" s="26">
        <f t="shared" si="4"/>
        <v>100</v>
      </c>
      <c r="M47" s="26">
        <f t="shared" si="4"/>
        <v>100</v>
      </c>
      <c r="N47" s="26">
        <f t="shared" si="4"/>
        <v>100</v>
      </c>
      <c r="O47" s="26">
        <f t="shared" si="4"/>
        <v>100</v>
      </c>
      <c r="P47" s="26">
        <f t="shared" si="4"/>
        <v>93.502597092863255</v>
      </c>
      <c r="Q47" s="26">
        <f t="shared" si="4"/>
        <v>100</v>
      </c>
      <c r="R47" s="26">
        <f t="shared" si="4"/>
        <v>100</v>
      </c>
      <c r="S47" s="26">
        <f t="shared" si="4"/>
        <v>100</v>
      </c>
      <c r="T47" s="26">
        <f t="shared" si="4"/>
        <v>100</v>
      </c>
      <c r="U47" s="26">
        <f t="shared" si="4"/>
        <v>100</v>
      </c>
      <c r="V47" s="26">
        <f t="shared" si="4"/>
        <v>99.566839806190885</v>
      </c>
      <c r="W47" s="243" t="s">
        <v>212</v>
      </c>
      <c r="X47" s="39" t="s">
        <v>212</v>
      </c>
      <c r="Y47" s="39" t="s">
        <v>212</v>
      </c>
      <c r="Z47" s="187" t="s">
        <v>212</v>
      </c>
      <c r="AA47" s="28"/>
      <c r="AB47" s="28"/>
      <c r="AC47" s="28"/>
      <c r="AD47" s="28"/>
    </row>
    <row r="48" spans="1:30">
      <c r="A48" s="141" t="s">
        <v>195</v>
      </c>
      <c r="B48" s="10"/>
      <c r="C48" s="189" t="s">
        <v>212</v>
      </c>
      <c r="D48" s="4" t="s">
        <v>212</v>
      </c>
      <c r="E48" s="59">
        <f>E41</f>
        <v>88.28909707404982</v>
      </c>
      <c r="F48" s="233">
        <f t="shared" ref="F48:V48" si="5">F41</f>
        <v>100</v>
      </c>
      <c r="G48" s="59">
        <f t="shared" si="5"/>
        <v>100</v>
      </c>
      <c r="H48" s="59">
        <f t="shared" si="5"/>
        <v>99.254959056497725</v>
      </c>
      <c r="I48" s="59">
        <f t="shared" si="5"/>
        <v>100</v>
      </c>
      <c r="J48" s="59">
        <f t="shared" si="5"/>
        <v>100</v>
      </c>
      <c r="K48" s="59">
        <f t="shared" si="5"/>
        <v>100</v>
      </c>
      <c r="L48" s="59">
        <f t="shared" si="5"/>
        <v>98.741020430334672</v>
      </c>
      <c r="M48" s="59">
        <f t="shared" si="5"/>
        <v>95.454003644192696</v>
      </c>
      <c r="N48" s="59">
        <f t="shared" si="5"/>
        <v>100</v>
      </c>
      <c r="O48" s="59">
        <f t="shared" si="5"/>
        <v>100.30905937493969</v>
      </c>
      <c r="P48" s="59">
        <f t="shared" si="5"/>
        <v>95.763226841402869</v>
      </c>
      <c r="Q48" s="59">
        <f t="shared" si="5"/>
        <v>98.841356820265219</v>
      </c>
      <c r="R48" s="59">
        <f t="shared" si="5"/>
        <v>100</v>
      </c>
      <c r="S48" s="59">
        <f t="shared" si="5"/>
        <v>100</v>
      </c>
      <c r="T48" s="59">
        <f t="shared" si="5"/>
        <v>98.029771315707748</v>
      </c>
      <c r="U48" s="59">
        <f t="shared" si="5"/>
        <v>99.687269922803068</v>
      </c>
      <c r="V48" s="59">
        <f t="shared" si="5"/>
        <v>99.072044493742908</v>
      </c>
      <c r="W48" s="189" t="s">
        <v>212</v>
      </c>
      <c r="X48" s="4" t="s">
        <v>212</v>
      </c>
      <c r="Y48" s="4" t="s">
        <v>212</v>
      </c>
      <c r="Z48" s="291" t="s">
        <v>212</v>
      </c>
      <c r="AA48" s="28"/>
      <c r="AB48" s="28"/>
      <c r="AC48" s="28"/>
      <c r="AD48" s="28"/>
    </row>
    <row r="49" spans="1:30">
      <c r="A49" s="41"/>
      <c r="B49" s="39"/>
      <c r="C49" s="243"/>
      <c r="D49" s="39"/>
      <c r="E49" s="39"/>
      <c r="F49" s="187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243"/>
      <c r="X49" s="39"/>
      <c r="Y49" s="39"/>
      <c r="Z49" s="187"/>
      <c r="AA49" s="28"/>
      <c r="AB49" s="28"/>
      <c r="AC49" s="28"/>
      <c r="AD49" s="28"/>
    </row>
    <row r="50" spans="1:30">
      <c r="A50" s="31"/>
      <c r="B50" s="31"/>
      <c r="C50" s="241"/>
      <c r="D50" s="37"/>
      <c r="E50" s="37"/>
      <c r="F50" s="242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241"/>
      <c r="X50" s="37"/>
      <c r="Y50" s="39"/>
      <c r="Z50" s="242"/>
      <c r="AA50" s="31"/>
      <c r="AB50" s="31"/>
      <c r="AC50" s="31"/>
      <c r="AD50" s="31"/>
    </row>
    <row r="51" spans="1:30">
      <c r="A51" s="31"/>
      <c r="B51" s="31" t="s">
        <v>37</v>
      </c>
      <c r="C51" s="243"/>
      <c r="D51" s="39"/>
      <c r="E51" s="39">
        <f t="shared" ref="E51:V51" si="6">AVERAGE(E46:E48)</f>
        <v>91.149710356307594</v>
      </c>
      <c r="F51" s="187">
        <f t="shared" si="6"/>
        <v>100</v>
      </c>
      <c r="G51" s="39">
        <f t="shared" si="6"/>
        <v>100</v>
      </c>
      <c r="H51" s="39">
        <f t="shared" si="6"/>
        <v>99.751653018832585</v>
      </c>
      <c r="I51" s="39">
        <f t="shared" si="6"/>
        <v>100</v>
      </c>
      <c r="J51" s="39">
        <f t="shared" si="6"/>
        <v>100</v>
      </c>
      <c r="K51" s="39">
        <f t="shared" si="6"/>
        <v>100</v>
      </c>
      <c r="L51" s="39">
        <f t="shared" si="6"/>
        <v>99.5803401434449</v>
      </c>
      <c r="M51" s="39">
        <f t="shared" si="6"/>
        <v>97.760661941818753</v>
      </c>
      <c r="N51" s="39">
        <f t="shared" si="6"/>
        <v>100</v>
      </c>
      <c r="O51" s="39">
        <f t="shared" si="6"/>
        <v>100.10301979164656</v>
      </c>
      <c r="P51" s="39">
        <f t="shared" si="6"/>
        <v>96.212722706882332</v>
      </c>
      <c r="Q51" s="39">
        <f t="shared" si="6"/>
        <v>99.613785606755073</v>
      </c>
      <c r="R51" s="39">
        <f t="shared" si="6"/>
        <v>100</v>
      </c>
      <c r="S51" s="39">
        <f t="shared" si="6"/>
        <v>100</v>
      </c>
      <c r="T51" s="39">
        <f t="shared" si="6"/>
        <v>99.343257105235921</v>
      </c>
      <c r="U51" s="39">
        <f t="shared" si="6"/>
        <v>99.895756640934351</v>
      </c>
      <c r="V51" s="39">
        <f t="shared" si="6"/>
        <v>99.484079797036699</v>
      </c>
      <c r="W51" s="243"/>
      <c r="X51" s="39"/>
      <c r="Y51" s="39"/>
      <c r="Z51" s="187"/>
      <c r="AA51" s="28"/>
      <c r="AB51" s="31"/>
      <c r="AC51" s="31"/>
      <c r="AD51" s="31"/>
    </row>
    <row r="52" spans="1:30">
      <c r="A52" s="31"/>
      <c r="B52" s="31" t="s">
        <v>36</v>
      </c>
      <c r="C52" s="243"/>
      <c r="D52" s="39"/>
      <c r="E52" s="39">
        <f t="shared" ref="E52:V52" si="7">STDEV(E46:E48)</f>
        <v>3.3536621954531944</v>
      </c>
      <c r="F52" s="187">
        <f t="shared" si="7"/>
        <v>0</v>
      </c>
      <c r="G52" s="39">
        <f t="shared" si="7"/>
        <v>0</v>
      </c>
      <c r="H52" s="39">
        <f t="shared" si="7"/>
        <v>0.43014958928542585</v>
      </c>
      <c r="I52" s="39">
        <f t="shared" si="7"/>
        <v>0</v>
      </c>
      <c r="J52" s="39">
        <f t="shared" si="7"/>
        <v>0</v>
      </c>
      <c r="K52" s="39">
        <f t="shared" si="7"/>
        <v>0</v>
      </c>
      <c r="L52" s="39">
        <f t="shared" si="7"/>
        <v>0.72687219344918441</v>
      </c>
      <c r="M52" s="39">
        <f t="shared" si="7"/>
        <v>2.2737457482599726</v>
      </c>
      <c r="N52" s="39">
        <f t="shared" si="7"/>
        <v>0</v>
      </c>
      <c r="O52" s="39">
        <f t="shared" si="7"/>
        <v>0.17843551331700927</v>
      </c>
      <c r="P52" s="39">
        <f t="shared" si="7"/>
        <v>2.9605772469699736</v>
      </c>
      <c r="Q52" s="39">
        <f t="shared" si="7"/>
        <v>0.66894295171411156</v>
      </c>
      <c r="R52" s="39">
        <f t="shared" si="7"/>
        <v>0</v>
      </c>
      <c r="S52" s="39">
        <f t="shared" si="7"/>
        <v>0</v>
      </c>
      <c r="T52" s="39">
        <f t="shared" si="7"/>
        <v>1.1375120612410043</v>
      </c>
      <c r="U52" s="39">
        <f t="shared" si="7"/>
        <v>0.18055479425334095</v>
      </c>
      <c r="V52" s="39">
        <f t="shared" si="7"/>
        <v>0.37752121106626374</v>
      </c>
      <c r="W52" s="243"/>
      <c r="X52" s="39"/>
      <c r="Y52" s="39"/>
      <c r="Z52" s="187"/>
      <c r="AA52" s="28"/>
      <c r="AB52" s="31"/>
      <c r="AC52" s="31"/>
      <c r="AD52" s="31"/>
    </row>
    <row r="53" spans="1:30">
      <c r="A53" s="42"/>
      <c r="B53" s="42" t="s">
        <v>35</v>
      </c>
      <c r="C53" s="244"/>
      <c r="D53" s="29"/>
      <c r="E53" s="29">
        <f t="shared" ref="E53:U53" si="8">E52/E51</f>
        <v>3.679290018962874E-2</v>
      </c>
      <c r="F53" s="245">
        <f t="shared" si="8"/>
        <v>0</v>
      </c>
      <c r="G53" s="29">
        <f t="shared" si="8"/>
        <v>0</v>
      </c>
      <c r="H53" s="29">
        <f t="shared" si="8"/>
        <v>4.3122051241017119E-3</v>
      </c>
      <c r="I53" s="29">
        <f t="shared" si="8"/>
        <v>0</v>
      </c>
      <c r="J53" s="29">
        <f t="shared" si="8"/>
        <v>0</v>
      </c>
      <c r="K53" s="29">
        <f t="shared" si="8"/>
        <v>0</v>
      </c>
      <c r="L53" s="29">
        <f t="shared" si="8"/>
        <v>7.2993543946739811E-3</v>
      </c>
      <c r="M53" s="29">
        <f t="shared" si="8"/>
        <v>2.3258289204436532E-2</v>
      </c>
      <c r="N53" s="29">
        <f t="shared" si="8"/>
        <v>0</v>
      </c>
      <c r="O53" s="29">
        <f t="shared" si="8"/>
        <v>1.7825187860306632E-3</v>
      </c>
      <c r="P53" s="29">
        <f t="shared" si="8"/>
        <v>3.0771161689182674E-2</v>
      </c>
      <c r="Q53" s="29">
        <f t="shared" si="8"/>
        <v>6.7153652241959249E-3</v>
      </c>
      <c r="R53" s="29">
        <f t="shared" si="8"/>
        <v>0</v>
      </c>
      <c r="S53" s="29">
        <f t="shared" si="8"/>
        <v>0</v>
      </c>
      <c r="T53" s="29">
        <f t="shared" si="8"/>
        <v>1.1450319773953247E-2</v>
      </c>
      <c r="U53" s="29">
        <f t="shared" si="8"/>
        <v>1.8074320704364623E-3</v>
      </c>
      <c r="V53" s="29">
        <f>V52/V51</f>
        <v>3.7947901999643248E-3</v>
      </c>
      <c r="W53" s="244"/>
      <c r="X53" s="29"/>
      <c r="Y53" s="29"/>
      <c r="Z53" s="245"/>
      <c r="AA53" s="29"/>
      <c r="AB53" s="42"/>
      <c r="AC53" s="42"/>
      <c r="AD53" s="42"/>
    </row>
    <row r="54" spans="1:30">
      <c r="A54" s="31"/>
      <c r="B54" s="31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9"/>
      <c r="Z54" s="37"/>
      <c r="AA54" s="31"/>
      <c r="AB54" s="31"/>
      <c r="AC54" s="31"/>
      <c r="AD54" s="31"/>
    </row>
    <row r="55" spans="1:30">
      <c r="A55" s="31"/>
      <c r="B55" s="31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9"/>
      <c r="Z55" s="37"/>
      <c r="AA55" s="31"/>
      <c r="AB55" s="31"/>
      <c r="AC55" s="31"/>
      <c r="AD55" s="31"/>
    </row>
    <row r="56" spans="1:30">
      <c r="A56" s="31"/>
      <c r="B56" s="31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9"/>
      <c r="Z56" s="37"/>
      <c r="AA56" s="31"/>
      <c r="AB56" s="31"/>
      <c r="AC56" s="31"/>
      <c r="AD56" s="31"/>
    </row>
    <row r="57" spans="1:30">
      <c r="A57" s="31"/>
      <c r="B57" s="31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9"/>
      <c r="Z57" s="37"/>
      <c r="AA57" s="31"/>
      <c r="AB57" s="31"/>
      <c r="AC57" s="31"/>
      <c r="AD57" s="31"/>
    </row>
    <row r="58" spans="1:30">
      <c r="A58" s="31"/>
      <c r="B58" s="31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9"/>
      <c r="Z58" s="37"/>
      <c r="AA58" s="31"/>
      <c r="AB58" s="31"/>
      <c r="AC58" s="31"/>
      <c r="AD58" s="31"/>
    </row>
    <row r="59" spans="1:30">
      <c r="A59" s="31"/>
      <c r="B59" s="31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9"/>
      <c r="Z59" s="37"/>
      <c r="AA59" s="31"/>
      <c r="AB59" s="31"/>
      <c r="AC59" s="31"/>
      <c r="AD59" s="31"/>
    </row>
    <row r="60" spans="1:30">
      <c r="A60" s="31"/>
      <c r="B60" s="31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9"/>
      <c r="Z60" s="37"/>
      <c r="AA60" s="31"/>
      <c r="AB60" s="31"/>
      <c r="AC60" s="31"/>
      <c r="AD60" s="31"/>
    </row>
    <row r="61" spans="1:30">
      <c r="A61" s="31"/>
      <c r="B61" s="31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9"/>
      <c r="Z61" s="37"/>
      <c r="AA61" s="31"/>
      <c r="AB61" s="31"/>
      <c r="AC61" s="31"/>
      <c r="AD61" s="31"/>
    </row>
    <row r="62" spans="1:30">
      <c r="A62" s="31"/>
      <c r="B62" s="31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9"/>
      <c r="Z62" s="37"/>
      <c r="AA62" s="31"/>
      <c r="AB62" s="31"/>
      <c r="AC62" s="31"/>
      <c r="AD62" s="31"/>
    </row>
    <row r="63" spans="1:30">
      <c r="A63" s="31"/>
      <c r="B63" s="31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9"/>
      <c r="Z63" s="37"/>
      <c r="AA63" s="31"/>
      <c r="AB63" s="31"/>
      <c r="AC63" s="31"/>
      <c r="AD63" s="31"/>
    </row>
    <row r="64" spans="1:30">
      <c r="A64" s="31"/>
      <c r="B64" s="31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9"/>
      <c r="Z64" s="37"/>
      <c r="AA64" s="31"/>
      <c r="AB64" s="31"/>
      <c r="AC64" s="31"/>
      <c r="AD64" s="31"/>
    </row>
    <row r="65" spans="1:30">
      <c r="A65" s="31"/>
      <c r="B65" s="31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9"/>
      <c r="Z65" s="37"/>
      <c r="AA65" s="31"/>
      <c r="AB65" s="31"/>
      <c r="AC65" s="31"/>
      <c r="AD65" s="31"/>
    </row>
    <row r="66" spans="1:30">
      <c r="A66" s="31"/>
      <c r="B66" s="31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9"/>
      <c r="Z66" s="37"/>
      <c r="AA66" s="31"/>
      <c r="AB66" s="31"/>
      <c r="AC66" s="31"/>
      <c r="AD66" s="31"/>
    </row>
    <row r="67" spans="1:30">
      <c r="A67" s="31"/>
      <c r="B67" s="31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9"/>
      <c r="Z67" s="37"/>
      <c r="AA67" s="31"/>
      <c r="AB67" s="31"/>
      <c r="AC67" s="31"/>
      <c r="AD67" s="31"/>
    </row>
    <row r="68" spans="1:30">
      <c r="A68" s="31"/>
      <c r="B68" s="31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9"/>
      <c r="Z68" s="37"/>
      <c r="AA68" s="31"/>
      <c r="AB68" s="31"/>
      <c r="AC68" s="31"/>
      <c r="AD68" s="31"/>
    </row>
  </sheetData>
  <mergeCells count="4">
    <mergeCell ref="U1:W1"/>
    <mergeCell ref="B1:M1"/>
    <mergeCell ref="P1:R1"/>
    <mergeCell ref="S1:T1"/>
  </mergeCells>
  <phoneticPr fontId="20" type="noConversion"/>
  <pageMargins left="0.7" right="0.7" top="0.75" bottom="0.75" header="0.3" footer="0.3"/>
  <pageSetup orientation="portrait" r:id="rId1"/>
  <drawing r:id="rId2"/>
  <legacyDrawing r:id="rId3"/>
  <oleObjects>
    <oleObject progId="Word.Document.12" shapeId="13315" r:id="rId4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BK147"/>
  <sheetViews>
    <sheetView zoomScaleNormal="100" workbookViewId="0">
      <pane xSplit="1" topLeftCell="B1" activePane="topRight" state="frozen"/>
      <selection pane="topRight" activeCell="F164" sqref="F164"/>
    </sheetView>
  </sheetViews>
  <sheetFormatPr defaultRowHeight="12.75"/>
  <cols>
    <col min="1" max="1" width="53.28515625" customWidth="1"/>
    <col min="7" max="7" width="10" customWidth="1"/>
    <col min="9" max="9" width="10.7109375" customWidth="1"/>
    <col min="41" max="43" width="10.28515625" customWidth="1"/>
    <col min="45" max="45" width="10.28515625" customWidth="1"/>
    <col min="46" max="46" width="10.42578125" customWidth="1"/>
  </cols>
  <sheetData>
    <row r="1" spans="1:58" ht="101.25" customHeight="1">
      <c r="I1" s="440" t="s">
        <v>255</v>
      </c>
      <c r="J1" s="440"/>
      <c r="K1" s="440"/>
      <c r="L1" s="440"/>
      <c r="M1" s="440"/>
      <c r="N1" s="440"/>
      <c r="O1" s="440"/>
      <c r="P1" s="440"/>
      <c r="Q1" s="440"/>
      <c r="R1" s="440"/>
      <c r="S1" s="440"/>
      <c r="AN1" s="249" t="s">
        <v>254</v>
      </c>
      <c r="AX1" t="str">
        <f>'Nutrient Composition'!S1</f>
        <v>Last updated, November 2, 2011</v>
      </c>
    </row>
    <row r="2" spans="1:58">
      <c r="B2" t="s">
        <v>209</v>
      </c>
      <c r="F2" s="252" t="str">
        <f>'Nutrient Composition'!S1</f>
        <v>Last updated, November 2, 2011</v>
      </c>
      <c r="K2" s="89"/>
      <c r="P2" s="21"/>
      <c r="Q2" s="21"/>
      <c r="AS2" s="49" t="s">
        <v>211</v>
      </c>
    </row>
    <row r="3" spans="1:58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</row>
    <row r="4" spans="1:58" ht="18.75">
      <c r="B4" s="109"/>
      <c r="C4" s="109"/>
      <c r="D4" s="293" t="s">
        <v>214</v>
      </c>
      <c r="E4" s="293"/>
      <c r="F4" s="98"/>
      <c r="G4" s="98"/>
      <c r="H4" s="109"/>
      <c r="I4" s="294"/>
      <c r="J4" s="154"/>
      <c r="K4" s="90"/>
      <c r="L4" s="106"/>
      <c r="M4" s="155"/>
      <c r="N4" s="90"/>
      <c r="O4" s="90"/>
      <c r="P4" s="154"/>
      <c r="Q4" s="155"/>
      <c r="R4" s="90"/>
      <c r="S4" s="90"/>
      <c r="T4" s="90"/>
      <c r="U4" s="90"/>
      <c r="V4" s="90"/>
      <c r="W4" s="90"/>
      <c r="X4" s="106" t="s">
        <v>218</v>
      </c>
      <c r="Y4" s="90"/>
      <c r="Z4" s="90"/>
      <c r="AA4" s="90"/>
      <c r="AB4" s="106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144"/>
      <c r="AQ4" s="145"/>
      <c r="AR4" s="297"/>
      <c r="AS4" s="247"/>
      <c r="AT4" s="247"/>
      <c r="AU4" s="247"/>
      <c r="AV4" s="298"/>
      <c r="AW4" s="299" t="s">
        <v>239</v>
      </c>
      <c r="AX4" s="247"/>
      <c r="AY4" s="247"/>
      <c r="AZ4" s="122"/>
      <c r="BA4" s="122"/>
      <c r="BB4" s="247"/>
      <c r="BC4" s="247"/>
      <c r="BD4" s="247"/>
      <c r="BE4" s="300"/>
    </row>
    <row r="5" spans="1:58">
      <c r="A5" s="117" t="s">
        <v>40</v>
      </c>
      <c r="B5" s="455" t="s">
        <v>240</v>
      </c>
      <c r="C5" s="455"/>
      <c r="D5" s="452" t="s">
        <v>1</v>
      </c>
      <c r="E5" s="453"/>
      <c r="F5" s="452" t="s">
        <v>236</v>
      </c>
      <c r="G5" s="453"/>
      <c r="H5" s="455" t="s">
        <v>235</v>
      </c>
      <c r="I5" s="456"/>
      <c r="J5" s="449" t="s">
        <v>221</v>
      </c>
      <c r="K5" s="449"/>
      <c r="L5" s="446" t="s">
        <v>222</v>
      </c>
      <c r="M5" s="451"/>
      <c r="N5" s="449" t="s">
        <v>237</v>
      </c>
      <c r="O5" s="450"/>
      <c r="P5" s="446" t="s">
        <v>223</v>
      </c>
      <c r="Q5" s="451"/>
      <c r="R5" s="446" t="s">
        <v>224</v>
      </c>
      <c r="S5" s="451"/>
      <c r="T5" s="449" t="s">
        <v>225</v>
      </c>
      <c r="U5" s="450"/>
      <c r="V5" s="446" t="s">
        <v>226</v>
      </c>
      <c r="W5" s="451"/>
      <c r="X5" s="449" t="s">
        <v>227</v>
      </c>
      <c r="Y5" s="450"/>
      <c r="Z5" s="446" t="s">
        <v>219</v>
      </c>
      <c r="AA5" s="451"/>
      <c r="AB5" s="449" t="s">
        <v>228</v>
      </c>
      <c r="AC5" s="450"/>
      <c r="AD5" s="446" t="s">
        <v>229</v>
      </c>
      <c r="AE5" s="448"/>
      <c r="AF5" s="449" t="s">
        <v>230</v>
      </c>
      <c r="AG5" s="449"/>
      <c r="AH5" s="446" t="s">
        <v>231</v>
      </c>
      <c r="AI5" s="448"/>
      <c r="AJ5" s="449" t="s">
        <v>232</v>
      </c>
      <c r="AK5" s="449"/>
      <c r="AL5" s="446" t="s">
        <v>233</v>
      </c>
      <c r="AM5" s="451"/>
      <c r="AN5" s="446" t="s">
        <v>234</v>
      </c>
      <c r="AO5" s="454"/>
      <c r="AP5" s="446" t="s">
        <v>220</v>
      </c>
      <c r="AQ5" s="447"/>
      <c r="AR5" s="219" t="s">
        <v>4</v>
      </c>
      <c r="AS5" s="121" t="s">
        <v>5</v>
      </c>
      <c r="AT5" s="121" t="s">
        <v>6</v>
      </c>
      <c r="AU5" s="122" t="s">
        <v>7</v>
      </c>
      <c r="AV5" s="121" t="s">
        <v>8</v>
      </c>
      <c r="AW5" s="121" t="s">
        <v>9</v>
      </c>
      <c r="AX5" s="121" t="s">
        <v>10</v>
      </c>
      <c r="AY5" s="121" t="s">
        <v>11</v>
      </c>
      <c r="AZ5" s="457" t="s">
        <v>238</v>
      </c>
      <c r="BA5" s="458"/>
      <c r="BB5" s="121" t="s">
        <v>13</v>
      </c>
      <c r="BC5" s="121" t="s">
        <v>14</v>
      </c>
      <c r="BD5" s="121" t="s">
        <v>15</v>
      </c>
      <c r="BE5" s="220" t="s">
        <v>16</v>
      </c>
      <c r="BF5" s="1"/>
    </row>
    <row r="6" spans="1:58" ht="13.5" thickBot="1">
      <c r="A6" s="70" t="s">
        <v>77</v>
      </c>
      <c r="B6" s="149" t="s">
        <v>217</v>
      </c>
      <c r="C6" s="100" t="s">
        <v>215</v>
      </c>
      <c r="D6" s="149" t="s">
        <v>217</v>
      </c>
      <c r="E6" s="150" t="s">
        <v>215</v>
      </c>
      <c r="F6" s="149" t="s">
        <v>101</v>
      </c>
      <c r="G6" s="150" t="s">
        <v>215</v>
      </c>
      <c r="H6" s="100" t="s">
        <v>216</v>
      </c>
      <c r="I6" s="295" t="s">
        <v>215</v>
      </c>
      <c r="J6" s="146" t="s">
        <v>217</v>
      </c>
      <c r="K6" s="146" t="s">
        <v>215</v>
      </c>
      <c r="L6" s="151" t="s">
        <v>217</v>
      </c>
      <c r="M6" s="152" t="s">
        <v>215</v>
      </c>
      <c r="N6" s="146" t="s">
        <v>217</v>
      </c>
      <c r="O6" s="146" t="s">
        <v>215</v>
      </c>
      <c r="P6" s="151" t="s">
        <v>217</v>
      </c>
      <c r="Q6" s="152" t="s">
        <v>215</v>
      </c>
      <c r="R6" s="151" t="s">
        <v>217</v>
      </c>
      <c r="S6" s="152" t="s">
        <v>215</v>
      </c>
      <c r="T6" s="146" t="s">
        <v>217</v>
      </c>
      <c r="U6" s="146" t="s">
        <v>215</v>
      </c>
      <c r="V6" s="151" t="s">
        <v>217</v>
      </c>
      <c r="W6" s="152" t="s">
        <v>215</v>
      </c>
      <c r="X6" s="146" t="s">
        <v>217</v>
      </c>
      <c r="Y6" s="146" t="s">
        <v>215</v>
      </c>
      <c r="Z6" s="151" t="s">
        <v>217</v>
      </c>
      <c r="AA6" s="152" t="s">
        <v>215</v>
      </c>
      <c r="AB6" s="146" t="s">
        <v>217</v>
      </c>
      <c r="AC6" s="146" t="s">
        <v>215</v>
      </c>
      <c r="AD6" s="151" t="s">
        <v>217</v>
      </c>
      <c r="AE6" s="152" t="s">
        <v>215</v>
      </c>
      <c r="AF6" s="146" t="s">
        <v>217</v>
      </c>
      <c r="AG6" s="146" t="s">
        <v>215</v>
      </c>
      <c r="AH6" s="151" t="s">
        <v>217</v>
      </c>
      <c r="AI6" s="152" t="s">
        <v>215</v>
      </c>
      <c r="AJ6" s="146" t="s">
        <v>217</v>
      </c>
      <c r="AK6" s="146" t="s">
        <v>215</v>
      </c>
      <c r="AL6" s="151" t="s">
        <v>217</v>
      </c>
      <c r="AM6" s="152" t="s">
        <v>215</v>
      </c>
      <c r="AN6" s="151" t="s">
        <v>217</v>
      </c>
      <c r="AO6" s="146" t="s">
        <v>215</v>
      </c>
      <c r="AP6" s="151" t="s">
        <v>217</v>
      </c>
      <c r="AQ6" s="311" t="s">
        <v>215</v>
      </c>
      <c r="AR6" s="257" t="s">
        <v>93</v>
      </c>
      <c r="AS6" s="96" t="s">
        <v>91</v>
      </c>
      <c r="AT6" s="118" t="s">
        <v>91</v>
      </c>
      <c r="AU6" s="97" t="s">
        <v>91</v>
      </c>
      <c r="AV6" s="118" t="s">
        <v>93</v>
      </c>
      <c r="AW6" s="118" t="s">
        <v>91</v>
      </c>
      <c r="AX6" s="118" t="s">
        <v>91</v>
      </c>
      <c r="AY6" s="160" t="s">
        <v>91</v>
      </c>
      <c r="AZ6" s="161" t="s">
        <v>217</v>
      </c>
      <c r="BA6" s="162" t="s">
        <v>215</v>
      </c>
      <c r="BB6" s="159" t="s">
        <v>93</v>
      </c>
      <c r="BC6" s="118" t="s">
        <v>93</v>
      </c>
      <c r="BD6" s="118" t="s">
        <v>93</v>
      </c>
      <c r="BE6" s="301" t="s">
        <v>91</v>
      </c>
    </row>
    <row r="7" spans="1:58">
      <c r="A7" s="292"/>
      <c r="B7" s="89"/>
      <c r="C7" s="89"/>
      <c r="D7" s="196"/>
      <c r="E7" s="193"/>
      <c r="F7" s="180"/>
      <c r="G7" s="181"/>
      <c r="H7" s="89"/>
      <c r="I7" s="206"/>
      <c r="J7" s="13"/>
      <c r="K7" s="13"/>
      <c r="L7" s="182"/>
      <c r="M7" s="183"/>
      <c r="N7" s="13"/>
      <c r="O7" s="13"/>
      <c r="P7" s="182"/>
      <c r="Q7" s="183"/>
      <c r="R7" s="182"/>
      <c r="S7" s="183"/>
      <c r="T7" s="13"/>
      <c r="U7" s="13"/>
      <c r="V7" s="182"/>
      <c r="W7" s="183"/>
      <c r="X7" s="13"/>
      <c r="Y7" s="13"/>
      <c r="Z7" s="182"/>
      <c r="AA7" s="183"/>
      <c r="AB7" s="13"/>
      <c r="AC7" s="13"/>
      <c r="AD7" s="182"/>
      <c r="AE7" s="183"/>
      <c r="AF7" s="13"/>
      <c r="AG7" s="13"/>
      <c r="AH7" s="182"/>
      <c r="AI7" s="183"/>
      <c r="AJ7" s="13"/>
      <c r="AK7" s="13"/>
      <c r="AL7" s="182"/>
      <c r="AM7" s="183"/>
      <c r="AN7" s="182"/>
      <c r="AO7" s="296"/>
      <c r="AP7" s="180"/>
      <c r="AQ7" s="312"/>
      <c r="AR7" s="221"/>
      <c r="AS7" s="184"/>
      <c r="AT7" s="2"/>
      <c r="AU7" s="77"/>
      <c r="AV7" s="2"/>
      <c r="AW7" s="2"/>
      <c r="AX7" s="2"/>
      <c r="AY7" s="2"/>
      <c r="AZ7" s="185"/>
      <c r="BA7" s="186"/>
      <c r="BB7" s="2"/>
      <c r="BC7" s="2"/>
      <c r="BD7" s="2"/>
      <c r="BE7" s="302"/>
    </row>
    <row r="8" spans="1:58">
      <c r="A8" s="273" t="s">
        <v>190</v>
      </c>
      <c r="B8" s="51">
        <v>92.7</v>
      </c>
      <c r="C8" s="250" t="s">
        <v>208</v>
      </c>
      <c r="D8" s="197" t="s">
        <v>212</v>
      </c>
      <c r="E8" s="195" t="s">
        <v>212</v>
      </c>
      <c r="F8" s="147">
        <v>73.045307443365687</v>
      </c>
      <c r="G8" s="148">
        <f>(F8*'ADC''s, Trout'!E7)/100</f>
        <v>70.853948220064709</v>
      </c>
      <c r="H8" s="55">
        <v>5292.8478964401293</v>
      </c>
      <c r="I8" s="207">
        <f>(H8*'ADC''s, Trout'!F7)/100</f>
        <v>5292.8478964401293</v>
      </c>
      <c r="J8" s="51">
        <v>4.4444444444444446</v>
      </c>
      <c r="K8" s="51">
        <f>(J8*'ADC''s, Trout'!G7)/100</f>
        <v>4.3113795313211725</v>
      </c>
      <c r="L8" s="147">
        <v>5.1456310679611645</v>
      </c>
      <c r="M8" s="148">
        <f>(L8*'ADC''s, Trout'!H7)/100</f>
        <v>5.1065789431269417</v>
      </c>
      <c r="N8" s="51">
        <v>6.3430420711974103</v>
      </c>
      <c r="O8" s="51">
        <f>(N8*'ADC''s, Trout'!I7)/100</f>
        <v>6.1530501572574652</v>
      </c>
      <c r="P8" s="147">
        <v>8.7918015102481117</v>
      </c>
      <c r="Q8" s="148">
        <f>(P8*'ADC''s, Trout'!J7)/100</f>
        <v>8.7434355747253694</v>
      </c>
      <c r="R8" s="147">
        <v>4.1316073354908305</v>
      </c>
      <c r="S8" s="148">
        <f>(R8*'ADC''s, Trout'!K7)/100</f>
        <v>4.1919471298909476</v>
      </c>
      <c r="T8" s="51">
        <v>1.8985976267529665</v>
      </c>
      <c r="U8" s="51">
        <f>(T8*'ADC''s, Trout'!L7)/100</f>
        <v>1.8267463140796869</v>
      </c>
      <c r="V8" s="147">
        <v>3.3549083063646168</v>
      </c>
      <c r="W8" s="148">
        <f>(V8*'ADC''s, Trout'!M7)/100</f>
        <v>3.3549083063646168</v>
      </c>
      <c r="X8" s="51">
        <v>5.4368932038834945</v>
      </c>
      <c r="Y8" s="51">
        <f>(X8*'ADC''s, Trout'!N7)/100</f>
        <v>5.124925895099091</v>
      </c>
      <c r="Z8" s="147">
        <v>5.5987055016181229</v>
      </c>
      <c r="AA8" s="148">
        <f>(Z8*'ADC''s, Trout'!O7)/100</f>
        <v>5.4621107357572853</v>
      </c>
      <c r="AB8" s="51">
        <v>2.0604099244875944</v>
      </c>
      <c r="AC8" s="51">
        <f>(AB8*'ADC''s, Trout'!P7)/100</f>
        <v>2.0316826534444141</v>
      </c>
      <c r="AD8" s="147">
        <v>3.1283710895361376</v>
      </c>
      <c r="AE8" s="148">
        <f>(AD8*'ADC''s, Trout'!Q7)/100</f>
        <v>2.9496445222547703</v>
      </c>
      <c r="AF8" s="51">
        <v>3.0960086299892127</v>
      </c>
      <c r="AG8" s="197" t="s">
        <v>212</v>
      </c>
      <c r="AH8" s="147">
        <v>2.740021574973031</v>
      </c>
      <c r="AI8" s="148">
        <f>(AH8*'ADC''s, Trout'!S7)/100</f>
        <v>2.6732292688330817</v>
      </c>
      <c r="AJ8" s="51">
        <v>3.1499460625674214</v>
      </c>
      <c r="AK8" s="51">
        <f>(AJ8*'ADC''s, Trout'!T7)/100</f>
        <v>3.0695707220958806</v>
      </c>
      <c r="AL8" s="147">
        <v>2.5674217907227614</v>
      </c>
      <c r="AM8" s="148">
        <f>(AL8*'ADC''s, Trout'!U7)/100</f>
        <v>2.4332468516868353</v>
      </c>
      <c r="AN8" s="147">
        <v>3.7648327939590076</v>
      </c>
      <c r="AO8" s="39">
        <f>(AN8*'ADC''s, Trout'!V7)/100</f>
        <v>3.3909619232344554</v>
      </c>
      <c r="AP8" s="147">
        <v>65.652642934196322</v>
      </c>
      <c r="AQ8" s="187">
        <v>80</v>
      </c>
      <c r="AR8" s="253">
        <v>3.883495145631068</v>
      </c>
      <c r="AS8" s="127" t="s">
        <v>174</v>
      </c>
      <c r="AT8" s="38">
        <f>(0.00069039913700107)*10000</f>
        <v>6.9039913700106998</v>
      </c>
      <c r="AU8" s="38">
        <v>194.17475728155338</v>
      </c>
      <c r="AV8" s="20">
        <v>0.31283710895361377</v>
      </c>
      <c r="AW8" s="38">
        <v>10.140237324703344</v>
      </c>
      <c r="AX8" s="303" t="s">
        <v>174</v>
      </c>
      <c r="AY8" s="38" t="s">
        <v>174</v>
      </c>
      <c r="AZ8" s="163">
        <v>3.0204962243797193</v>
      </c>
      <c r="BA8" s="349">
        <f>(AZ8*'[1]ADC''s, Trout'!X8)/100</f>
        <v>2.3861920172599782</v>
      </c>
      <c r="BB8" s="20">
        <v>0.86299892125134836</v>
      </c>
      <c r="BC8" s="20">
        <v>1.0248112189859762</v>
      </c>
      <c r="BD8" s="20">
        <v>1.035598705501618</v>
      </c>
      <c r="BE8" s="304">
        <v>85.221143473570706</v>
      </c>
      <c r="BF8" s="52"/>
    </row>
    <row r="9" spans="1:58">
      <c r="A9" s="273" t="s">
        <v>191</v>
      </c>
      <c r="B9" s="51">
        <v>94.72</v>
      </c>
      <c r="C9" s="195" t="s">
        <v>212</v>
      </c>
      <c r="D9" s="197" t="s">
        <v>212</v>
      </c>
      <c r="E9" s="195" t="s">
        <v>212</v>
      </c>
      <c r="F9" s="147">
        <v>69.448902027027017</v>
      </c>
      <c r="G9" s="148">
        <f>(F9*'ADC''s, Trout'!E8)/100</f>
        <v>61.809522804054048</v>
      </c>
      <c r="H9" s="55">
        <v>5075.1266891891892</v>
      </c>
      <c r="I9" s="207">
        <f>(H9*'ADC''s, Trout'!F8)/100</f>
        <v>4719.8678209459458</v>
      </c>
      <c r="J9" s="51">
        <v>4.4763513513513518</v>
      </c>
      <c r="K9" s="51">
        <f>(J9*'ADC''s, Trout'!G8)/100</f>
        <v>4.3916287291786258</v>
      </c>
      <c r="L9" s="147">
        <v>5.5215371621621623</v>
      </c>
      <c r="M9" s="148">
        <f>(L9*'ADC''s, Trout'!H8)/100</f>
        <v>5.3570017678237285</v>
      </c>
      <c r="N9" s="51">
        <v>5.9332770270270272</v>
      </c>
      <c r="O9" s="51">
        <f>(N9*'ADC''s, Trout'!I8)/100</f>
        <v>5.7618222387955704</v>
      </c>
      <c r="P9" s="147">
        <v>8.7837837837837842</v>
      </c>
      <c r="Q9" s="148">
        <f>(P9*'ADC''s, Trout'!J8)/100</f>
        <v>8.3551275423652189</v>
      </c>
      <c r="R9" s="147">
        <v>6.2077702702702702</v>
      </c>
      <c r="S9" s="148">
        <f>(R9*'ADC''s, Trout'!K8)/100</f>
        <v>5.9378556408788361</v>
      </c>
      <c r="T9" s="51">
        <v>1.3196790540540539</v>
      </c>
      <c r="U9" s="51">
        <f>(T9*'ADC''s, Trout'!L8)/100</f>
        <v>1.3037001431606745</v>
      </c>
      <c r="V9" s="147">
        <v>2.7554898648648645</v>
      </c>
      <c r="W9" s="148">
        <f>(V9*'ADC''s, Trout'!M8)/100</f>
        <v>2.5925100987621845</v>
      </c>
      <c r="X9" s="51">
        <v>4.6875</v>
      </c>
      <c r="Y9" s="51">
        <f>(X9*'ADC''s, Trout'!N8)/100</f>
        <v>4.5853585214855102</v>
      </c>
      <c r="Z9" s="147">
        <v>4.7508445945945947</v>
      </c>
      <c r="AA9" s="148">
        <f>(Z9*'ADC''s, Trout'!O8)/100</f>
        <v>4.7055279098374578</v>
      </c>
      <c r="AB9" s="51">
        <v>1.9214527027027026</v>
      </c>
      <c r="AC9" s="51">
        <f>(AB9*'ADC''s, Trout'!P8)/100</f>
        <v>1.8647973888396492</v>
      </c>
      <c r="AD9" s="147">
        <v>2.6921452702702702</v>
      </c>
      <c r="AE9" s="148">
        <f>(AD9*'ADC''s, Trout'!Q8)/100</f>
        <v>2.5853054076931938</v>
      </c>
      <c r="AF9" s="51">
        <v>3.7056587837837833</v>
      </c>
      <c r="AG9" s="197" t="s">
        <v>212</v>
      </c>
      <c r="AH9" s="147">
        <v>3.0722128378378377</v>
      </c>
      <c r="AI9" s="148">
        <f>(AH9*'ADC''s, Trout'!S8)/100</f>
        <v>2.9776362051686163</v>
      </c>
      <c r="AJ9" s="51">
        <v>2.9455236486486487</v>
      </c>
      <c r="AK9" s="51">
        <f>(AJ9*'ADC''s, Trout'!T8)/100</f>
        <v>2.847216576858147</v>
      </c>
      <c r="AL9" s="147">
        <v>2.2065033783783781</v>
      </c>
      <c r="AM9" s="148">
        <f>(AL9*'ADC''s, Trout'!U8)/100</f>
        <v>2.1270295720705179</v>
      </c>
      <c r="AN9" s="147">
        <v>3.2094594594594592</v>
      </c>
      <c r="AO9" s="39">
        <f>(AN9*'ADC''s, Trout'!V8)/100</f>
        <v>3.0487688979366494</v>
      </c>
      <c r="AP9" s="147">
        <v>64.189189189189179</v>
      </c>
      <c r="AQ9" s="187">
        <f>(AP9*'ADC''s, Trout'!W8)/100</f>
        <v>62.084191043078278</v>
      </c>
      <c r="AR9" s="253">
        <v>5.2787162162162167</v>
      </c>
      <c r="AS9" s="127" t="s">
        <v>174</v>
      </c>
      <c r="AT9" s="38">
        <f>0.000855152027027027*10000</f>
        <v>8.5515202702702702</v>
      </c>
      <c r="AU9" s="38">
        <v>179.47635135135135</v>
      </c>
      <c r="AV9" s="20">
        <v>0.1900337837837838</v>
      </c>
      <c r="AW9" s="38">
        <v>13.724662162162163</v>
      </c>
      <c r="AX9" s="303" t="s">
        <v>174</v>
      </c>
      <c r="AY9" s="38" t="s">
        <v>174</v>
      </c>
      <c r="AZ9" s="163">
        <v>3.5895270270270272</v>
      </c>
      <c r="BA9" s="349">
        <f>(AZ9*'[1]ADC''s, Trout'!X9)/100</f>
        <v>2.4049831081081083</v>
      </c>
      <c r="BB9" s="20">
        <v>1.0240709459459461</v>
      </c>
      <c r="BC9" s="20">
        <v>0.9184966216216216</v>
      </c>
      <c r="BD9" s="20">
        <v>0.87626689189189189</v>
      </c>
      <c r="BE9" s="304">
        <v>126.68918918918918</v>
      </c>
      <c r="BF9" s="52"/>
    </row>
    <row r="10" spans="1:58">
      <c r="A10" s="273" t="s">
        <v>192</v>
      </c>
      <c r="B10" s="51">
        <v>91.456999999999994</v>
      </c>
      <c r="C10" s="195" t="s">
        <v>212</v>
      </c>
      <c r="D10" s="197" t="s">
        <v>212</v>
      </c>
      <c r="E10" s="195" t="s">
        <v>212</v>
      </c>
      <c r="F10" s="147">
        <v>73.474966377641948</v>
      </c>
      <c r="G10" s="148">
        <f>(F10*'ADC''s, Trout'!E9)/100</f>
        <v>63.188471084772075</v>
      </c>
      <c r="H10" s="55">
        <v>5142.4822594224615</v>
      </c>
      <c r="I10" s="207">
        <f>(H10*'ADC''s, Trout'!F9)/100</f>
        <v>5091.0574368282369</v>
      </c>
      <c r="J10" s="51">
        <v>4.2971013700427534</v>
      </c>
      <c r="K10" s="51">
        <f>(J10*'ADC''s, Trout'!G9)/100</f>
        <v>3.9459411599300558</v>
      </c>
      <c r="L10" s="147">
        <v>5.8497435953508212</v>
      </c>
      <c r="M10" s="148">
        <f>(L10*'ADC''s, Trout'!H9)/100</f>
        <v>5.404423313321832</v>
      </c>
      <c r="N10" s="51">
        <v>5.8497435953508212</v>
      </c>
      <c r="O10" s="51">
        <f>(N10*'ADC''s, Trout'!I9)/100</f>
        <v>5.175761764922985</v>
      </c>
      <c r="P10" s="147">
        <v>8.4192571372338918</v>
      </c>
      <c r="Q10" s="148">
        <f>(P10*'ADC''s, Trout'!J9)/100</f>
        <v>7.8910494058024936</v>
      </c>
      <c r="R10" s="147">
        <v>5.3467749871524326</v>
      </c>
      <c r="S10" s="148">
        <f>(R10*'ADC''s, Trout'!K9)/100</f>
        <v>4.4581963182877145</v>
      </c>
      <c r="T10" s="51">
        <v>1.5307740249516166</v>
      </c>
      <c r="U10" s="51">
        <f>(T10*'ADC''s, Trout'!L9)/100</f>
        <v>1.4083564410680227</v>
      </c>
      <c r="V10" s="147">
        <v>2.8209978459822653</v>
      </c>
      <c r="W10" s="148">
        <f>(V10*'ADC''s, Trout'!M9)/100</f>
        <v>2.5434233506028843</v>
      </c>
      <c r="X10" s="51">
        <v>4.8110040784193675</v>
      </c>
      <c r="Y10" s="51">
        <f>(X10*'ADC''s, Trout'!N9)/100</f>
        <v>4.5263467925500205</v>
      </c>
      <c r="Z10" s="147">
        <v>4.9859496812709798</v>
      </c>
      <c r="AA10" s="148">
        <f>(Z10*'ADC''s, Trout'!O9)/100</f>
        <v>4.740333096350513</v>
      </c>
      <c r="AB10" s="51">
        <v>1.8915993308330694</v>
      </c>
      <c r="AC10" s="51">
        <f>(AB10*'ADC''s, Trout'!P9)/100</f>
        <v>1.7749711892565829</v>
      </c>
      <c r="AD10" s="147">
        <v>2.7225909443782328</v>
      </c>
      <c r="AE10" s="148">
        <f>(AD10*'ADC''s, Trout'!Q9)/100</f>
        <v>2.5139379975737954</v>
      </c>
      <c r="AF10" s="51">
        <v>3.4442415561411379</v>
      </c>
      <c r="AG10" s="197" t="s">
        <v>212</v>
      </c>
      <c r="AH10" s="147">
        <v>2.5476453415266196</v>
      </c>
      <c r="AI10" s="148">
        <f>(AH10*'ADC''s, Trout'!S9)/100</f>
        <v>2.3869357555610922</v>
      </c>
      <c r="AJ10" s="51">
        <v>2.8209978459822653</v>
      </c>
      <c r="AK10" s="51">
        <f>(AJ10*'ADC''s, Trout'!T9)/100</f>
        <v>2.5764838313086749</v>
      </c>
      <c r="AL10" s="147">
        <v>2.2852269372491993</v>
      </c>
      <c r="AM10" s="148">
        <f>(AL10*'ADC''s, Trout'!U9)/100</f>
        <v>2.1016937294688995</v>
      </c>
      <c r="AN10" s="147">
        <v>3.2802300534677502</v>
      </c>
      <c r="AO10" s="39">
        <f>(AN10*'ADC''s, Trout'!V9)/100</f>
        <v>2.9435585167583271</v>
      </c>
      <c r="AP10" s="147">
        <v>62.90387832533321</v>
      </c>
      <c r="AQ10" s="187">
        <f>(AP10*'ADC''s, Trout'!W9)/100</f>
        <v>57.620843221291928</v>
      </c>
      <c r="AR10" s="253">
        <v>5.2483680855484005</v>
      </c>
      <c r="AS10" s="20">
        <v>0.26241840427742003</v>
      </c>
      <c r="AT10" s="38">
        <f>0.000328023005346775*10000</f>
        <v>3.2802300534677498</v>
      </c>
      <c r="AU10" s="38">
        <v>721.6506117629051</v>
      </c>
      <c r="AV10" s="20">
        <v>0.21868200356451667</v>
      </c>
      <c r="AW10" s="38">
        <v>43.73640071290334</v>
      </c>
      <c r="AX10" s="303" t="s">
        <v>174</v>
      </c>
      <c r="AY10" s="38" t="s">
        <v>174</v>
      </c>
      <c r="AZ10" s="163">
        <v>3.8269350623790417</v>
      </c>
      <c r="BA10" s="349">
        <f>(AZ10*'[1]ADC''s, Trout'!X10)/100</f>
        <v>1.7603901286943591</v>
      </c>
      <c r="BB10" s="20">
        <v>1.3120920213871001</v>
      </c>
      <c r="BC10" s="20">
        <v>0.5029686081983884</v>
      </c>
      <c r="BD10" s="20">
        <v>0.91846441497096998</v>
      </c>
      <c r="BE10" s="304">
        <v>120.27510196048415</v>
      </c>
      <c r="BF10" s="52"/>
    </row>
    <row r="11" spans="1:58">
      <c r="A11" s="273" t="s">
        <v>193</v>
      </c>
      <c r="B11" s="51">
        <v>93.155000000000001</v>
      </c>
      <c r="C11" s="195" t="s">
        <v>212</v>
      </c>
      <c r="D11" s="197" t="s">
        <v>212</v>
      </c>
      <c r="E11" s="195" t="s">
        <v>212</v>
      </c>
      <c r="F11" s="147">
        <v>70.497557833717991</v>
      </c>
      <c r="G11" s="148">
        <f>(F11*'ADC''s, Trout'!E10)/100</f>
        <v>63.447802050346191</v>
      </c>
      <c r="H11" s="55">
        <v>6647.3297192850623</v>
      </c>
      <c r="I11" s="207">
        <f>(H11*'ADC''s, Trout'!F10)/100</f>
        <v>6381.4365305136598</v>
      </c>
      <c r="J11" s="51">
        <v>4.3046535344318606</v>
      </c>
      <c r="K11" s="51">
        <f>(J11*'ADC''s, Trout'!G10)/100</f>
        <v>4.3046535344318606</v>
      </c>
      <c r="L11" s="147">
        <v>5.1312328914175298</v>
      </c>
      <c r="M11" s="148">
        <f>(L11*'ADC''s, Trout'!H10)/100</f>
        <v>5.1018353038206046</v>
      </c>
      <c r="N11" s="51">
        <v>6.108099404218776</v>
      </c>
      <c r="O11" s="51">
        <f>(N11*'ADC''s, Trout'!I10)/100</f>
        <v>6.108099404218776</v>
      </c>
      <c r="P11" s="147">
        <v>8.6844506467715092</v>
      </c>
      <c r="Q11" s="148">
        <f>(P11*'ADC''s, Trout'!J10)/100</f>
        <v>8.6844506467715092</v>
      </c>
      <c r="R11" s="147">
        <v>4.3583275186517092</v>
      </c>
      <c r="S11" s="148">
        <f>(R11*'ADC''s, Trout'!K10)/100</f>
        <v>4.3279665161077832</v>
      </c>
      <c r="T11" s="51">
        <v>1.8678546508507328</v>
      </c>
      <c r="U11" s="51">
        <f>(T11*'ADC''s, Trout'!L10)/100</f>
        <v>1.8678546508507328</v>
      </c>
      <c r="V11" s="147">
        <v>3.0701518973753421</v>
      </c>
      <c r="W11" s="148">
        <f>(V11*'ADC''s, Trout'!M10)/100</f>
        <v>3.0164229033923586</v>
      </c>
      <c r="X11" s="51">
        <v>5.1527024851054692</v>
      </c>
      <c r="Y11" s="51">
        <f>(X11*'ADC''s, Trout'!N10)/100</f>
        <v>5.1403581214515954</v>
      </c>
      <c r="Z11" s="147">
        <v>5.2815200472331059</v>
      </c>
      <c r="AA11" s="148">
        <f>(Z11*'ADC''s, Trout'!O10)/100</f>
        <v>5.2815200472331059</v>
      </c>
      <c r="AB11" s="51">
        <v>2.0074070098223391</v>
      </c>
      <c r="AC11" s="51">
        <f>(AB11*'ADC''s, Trout'!P10)/100</f>
        <v>1.9664809813898703</v>
      </c>
      <c r="AD11" s="147">
        <v>2.8232515699640381</v>
      </c>
      <c r="AE11" s="148">
        <f>(AD11*'ADC''s, Trout'!Q10)/100</f>
        <v>2.7678398231202506</v>
      </c>
      <c r="AF11" s="51">
        <v>3.1238258815951911</v>
      </c>
      <c r="AG11" s="197" t="s">
        <v>212</v>
      </c>
      <c r="AH11" s="147">
        <v>2.6729644141484625</v>
      </c>
      <c r="AI11" s="148">
        <f>(AH11*'ADC''s, Trout'!S10)/100</f>
        <v>2.6187451460232953</v>
      </c>
      <c r="AJ11" s="51">
        <v>2.9842735226235844</v>
      </c>
      <c r="AK11" s="51">
        <f>(AJ11*'ADC''s, Trout'!T10)/100</f>
        <v>2.9824660741516307</v>
      </c>
      <c r="AL11" s="147">
        <v>2.3294509151414311</v>
      </c>
      <c r="AM11" s="148">
        <f>(AL11*'ADC''s, Trout'!U10)/100</f>
        <v>2.2793440568469028</v>
      </c>
      <c r="AN11" s="147">
        <v>3.5424829585100102</v>
      </c>
      <c r="AO11" s="39">
        <f>(AN11*'ADC''s, Trout'!V10)/100</f>
        <v>3.4947136944099046</v>
      </c>
      <c r="AP11" s="147">
        <v>63.442649347861078</v>
      </c>
      <c r="AQ11" s="187">
        <f>(AP11*'ADC''s, Trout'!W10)/100</f>
        <v>62.899196445270711</v>
      </c>
      <c r="AR11" s="253">
        <v>3.9718748322687993</v>
      </c>
      <c r="AS11" s="20">
        <v>0.34351349900703126</v>
      </c>
      <c r="AT11" s="38">
        <f>0.000644087810638184*10000</f>
        <v>6.4408781063818399</v>
      </c>
      <c r="AU11" s="38">
        <v>719.23138854597187</v>
      </c>
      <c r="AV11" s="20">
        <v>0.32204390531909183</v>
      </c>
      <c r="AW11" s="38">
        <v>34.351349900703127</v>
      </c>
      <c r="AX11" s="303" t="s">
        <v>174</v>
      </c>
      <c r="AY11" s="38">
        <f>0.00037571788953894*10000</f>
        <v>3.7571788953893996</v>
      </c>
      <c r="AZ11" s="163">
        <v>3.0057431163115238</v>
      </c>
      <c r="BA11" s="349">
        <f>(AZ11*'[1]ADC''s, Trout'!X11)/100</f>
        <v>1.5329289893188771</v>
      </c>
      <c r="BB11" s="20">
        <v>1.0734796843969727</v>
      </c>
      <c r="BC11" s="20">
        <v>1.3955235897160647</v>
      </c>
      <c r="BD11" s="20">
        <v>1.0520100907090333</v>
      </c>
      <c r="BE11" s="304">
        <v>107.34796843969727</v>
      </c>
      <c r="BF11" s="52"/>
    </row>
    <row r="12" spans="1:58">
      <c r="A12" s="273" t="s">
        <v>194</v>
      </c>
      <c r="B12" s="51">
        <v>94.19</v>
      </c>
      <c r="C12" s="195" t="s">
        <v>212</v>
      </c>
      <c r="D12" s="197" t="s">
        <v>212</v>
      </c>
      <c r="E12" s="195" t="s">
        <v>212</v>
      </c>
      <c r="F12" s="147">
        <v>71.849453232827258</v>
      </c>
      <c r="G12" s="148">
        <f>(F12*'ADC''s, Trout'!E11)/100</f>
        <v>64.66450790954454</v>
      </c>
      <c r="H12" s="55">
        <v>5511.8908589022185</v>
      </c>
      <c r="I12" s="207">
        <f>(H12*'ADC''s, Trout'!F11)/100</f>
        <v>5236.2963159571073</v>
      </c>
      <c r="J12" s="51">
        <v>4.2361184839154902</v>
      </c>
      <c r="K12" s="51">
        <f>(J12*'ADC''s, Trout'!G11)/100</f>
        <v>4.2285398401873673</v>
      </c>
      <c r="L12" s="147">
        <v>5.0005308419152774</v>
      </c>
      <c r="M12" s="148">
        <f>(L12*'ADC''s, Trout'!H11)/100</f>
        <v>4.9234780016193209</v>
      </c>
      <c r="N12" s="51">
        <v>6.1046820256927488</v>
      </c>
      <c r="O12" s="51">
        <f>(N12*'ADC''s, Trout'!I11)/100</f>
        <v>6.0763416847529337</v>
      </c>
      <c r="P12" s="147">
        <v>8.5040874827476376</v>
      </c>
      <c r="Q12" s="148">
        <f>(P12*'ADC''s, Trout'!J11)/100</f>
        <v>8.4980223666547836</v>
      </c>
      <c r="R12" s="147">
        <v>4.1724174540821748</v>
      </c>
      <c r="S12" s="148">
        <f>(R12*'ADC''s, Trout'!K11)/100</f>
        <v>4.0780892919701941</v>
      </c>
      <c r="T12" s="51">
        <v>2.4418728102770992</v>
      </c>
      <c r="U12" s="51">
        <f>(T12*'ADC''s, Trout'!L11)/100</f>
        <v>2.4013627177107404</v>
      </c>
      <c r="V12" s="147">
        <v>3.0682662703047034</v>
      </c>
      <c r="W12" s="148">
        <f>(V12*'ADC''s, Trout'!M11)/100</f>
        <v>2.9611254380220569</v>
      </c>
      <c r="X12" s="51">
        <v>5.1916339314152244</v>
      </c>
      <c r="Y12" s="51">
        <f>(X12*'ADC''s, Trout'!N11)/100</f>
        <v>5.1402411196205628</v>
      </c>
      <c r="Z12" s="147">
        <v>5.4039706975262769</v>
      </c>
      <c r="AA12" s="148">
        <f>(Z12*'ADC''s, Trout'!O11)/100</f>
        <v>5.329058653334851</v>
      </c>
      <c r="AB12" s="51">
        <v>1.9853487631383375</v>
      </c>
      <c r="AC12" s="51">
        <f>(AB12*'ADC''s, Trout'!P11)/100</f>
        <v>1.929457787066589</v>
      </c>
      <c r="AD12" s="147">
        <v>2.8771631808047564</v>
      </c>
      <c r="AE12" s="148">
        <f>(AD12*'ADC''s, Trout'!Q11)/100</f>
        <v>2.8111891404381781</v>
      </c>
      <c r="AF12" s="51">
        <v>3.0045652404713876</v>
      </c>
      <c r="AG12" s="197" t="s">
        <v>212</v>
      </c>
      <c r="AH12" s="147">
        <v>2.8028453126658883</v>
      </c>
      <c r="AI12" s="148">
        <f>(AH12*'ADC''s, Trout'!S11)/100</f>
        <v>2.7063130526827734</v>
      </c>
      <c r="AJ12" s="51">
        <v>3.0151820787769403</v>
      </c>
      <c r="AK12" s="51">
        <f>(AJ12*'ADC''s, Trout'!T11)/100</f>
        <v>2.9473734284507009</v>
      </c>
      <c r="AL12" s="147">
        <v>2.4631064868882047</v>
      </c>
      <c r="AM12" s="148">
        <f>(AL12*'ADC''s, Trout'!U11)/100</f>
        <v>2.4019232693892287</v>
      </c>
      <c r="AN12" s="147">
        <v>3.6203418621934391</v>
      </c>
      <c r="AO12" s="39">
        <f>(AN12*'ADC''s, Trout'!V11)/100</f>
        <v>3.5123882340059951</v>
      </c>
      <c r="AP12" s="147">
        <v>63.892132922815598</v>
      </c>
      <c r="AQ12" s="187">
        <f>(AP12*'ADC''s, Trout'!W11)/100</f>
        <v>62.686267707491631</v>
      </c>
      <c r="AR12" s="253">
        <v>3.1850514916657819</v>
      </c>
      <c r="AS12" s="30" t="s">
        <v>174</v>
      </c>
      <c r="AT12" s="38">
        <f>0.000520225076972078*10000</f>
        <v>5.2022507697207807</v>
      </c>
      <c r="AU12" s="38">
        <v>276.03779594436782</v>
      </c>
      <c r="AV12" s="20">
        <v>0.25480411933326258</v>
      </c>
      <c r="AW12" s="38">
        <v>15.925257458328909</v>
      </c>
      <c r="AX12" s="303" t="s">
        <v>174</v>
      </c>
      <c r="AY12" s="38">
        <f>0.000254804119333263*10000</f>
        <v>2.5480411933326303</v>
      </c>
      <c r="AZ12" s="163">
        <v>2.5480411933326255</v>
      </c>
      <c r="BA12" s="349">
        <f>(AZ12*'[1]ADC''s, Trout'!X12)/100</f>
        <v>1.4269030682662702</v>
      </c>
      <c r="BB12" s="20">
        <v>1.0085996390274976</v>
      </c>
      <c r="BC12" s="20">
        <v>1.1678522136107869</v>
      </c>
      <c r="BD12" s="20">
        <v>1.0192164773330503</v>
      </c>
      <c r="BE12" s="304">
        <v>42.467353222210427</v>
      </c>
      <c r="BF12" s="52"/>
    </row>
    <row r="13" spans="1:58">
      <c r="A13" s="269" t="s">
        <v>47</v>
      </c>
      <c r="B13" s="51">
        <v>89.49</v>
      </c>
      <c r="C13" s="195" t="s">
        <v>212</v>
      </c>
      <c r="D13" s="197" t="s">
        <v>212</v>
      </c>
      <c r="E13" s="195" t="s">
        <v>212</v>
      </c>
      <c r="F13" s="147">
        <v>96.445412895295576</v>
      </c>
      <c r="G13" s="148">
        <f>(F13*'ADC''s, Trout'!E12)/100</f>
        <v>87.765325734718971</v>
      </c>
      <c r="H13" s="55">
        <v>6233.1880657056663</v>
      </c>
      <c r="I13" s="207">
        <f>(H13*'ADC''s, Trout'!F12)/100</f>
        <v>5360.5417365068733</v>
      </c>
      <c r="J13" s="51">
        <v>7.4645211755503409</v>
      </c>
      <c r="K13" s="51">
        <f>(J13*'ADC''s, Trout'!G12)/100</f>
        <v>6.5290530353425993</v>
      </c>
      <c r="L13" s="147">
        <v>5.3637277908146164</v>
      </c>
      <c r="M13" s="148">
        <f>(L13*'ADC''s, Trout'!H12)/100</f>
        <v>5.2106796321716251</v>
      </c>
      <c r="N13" s="51">
        <v>9.7217566208514921</v>
      </c>
      <c r="O13" s="51">
        <f>(N13*'ADC''s, Trout'!I12)/100</f>
        <v>8.5686656593225798</v>
      </c>
      <c r="P13" s="147">
        <v>8.0679405520169851</v>
      </c>
      <c r="Q13" s="148">
        <f>(P13*'ADC''s, Trout'!J12)/100</f>
        <v>7.3829840864402048</v>
      </c>
      <c r="R13" s="147">
        <v>4.011621410213432</v>
      </c>
      <c r="S13" s="148">
        <f>(R13*'ADC''s, Trout'!K12)/100</f>
        <v>3.6630728325665309</v>
      </c>
      <c r="T13" s="51">
        <v>5.4084255224047384</v>
      </c>
      <c r="U13" s="51">
        <f>(T13*'ADC''s, Trout'!L12)/100</f>
        <v>4.724083641779047</v>
      </c>
      <c r="V13" s="147">
        <v>1.039222259470332</v>
      </c>
      <c r="W13" s="148">
        <f>(V13*'ADC''s, Trout'!M12)/100</f>
        <v>0.89485098510070282</v>
      </c>
      <c r="X13" s="51">
        <v>12.403620516258801</v>
      </c>
      <c r="Y13" s="51">
        <f>(X13*'ADC''s, Trout'!N12)/100</f>
        <v>10.832572467619487</v>
      </c>
      <c r="Z13" s="147">
        <v>8.8613252877416482</v>
      </c>
      <c r="AA13" s="148">
        <f>(Z13*'ADC''s, Trout'!O12)/100</f>
        <v>7.9843250089446531</v>
      </c>
      <c r="AB13" s="51">
        <v>1.530897306961672</v>
      </c>
      <c r="AC13" s="51">
        <f>(AB13*'ADC''s, Trout'!P12)/100</f>
        <v>1.3861731646842443</v>
      </c>
      <c r="AD13" s="147">
        <v>7.3863001452676285</v>
      </c>
      <c r="AE13" s="148">
        <f>(AD13*'ADC''s, Trout'!Q12)/100</f>
        <v>6.5433777722463127</v>
      </c>
      <c r="AF13" s="51">
        <v>4.0339702760084926</v>
      </c>
      <c r="AG13" s="197" t="s">
        <v>212</v>
      </c>
      <c r="AH13" s="147">
        <v>5.2519834618393126</v>
      </c>
      <c r="AI13" s="148">
        <f>(AH13*'ADC''s, Trout'!S12)/100</f>
        <v>5.0135150536398125</v>
      </c>
      <c r="AJ13" s="51">
        <v>5.3078556263269645</v>
      </c>
      <c r="AK13" s="51">
        <f>(AJ13*'ADC''s, Trout'!T12)/100</f>
        <v>4.7836881190611606</v>
      </c>
      <c r="AL13" s="147">
        <v>3.4305508995418483</v>
      </c>
      <c r="AM13" s="148">
        <f>(AL13*'ADC''s, Trout'!U12)/100</f>
        <v>2.9720998728679011</v>
      </c>
      <c r="AN13" s="147">
        <v>8.2690803441725347</v>
      </c>
      <c r="AO13" s="39">
        <f>(AN13*'ADC''s, Trout'!V12)/100</f>
        <v>6.659120330098574</v>
      </c>
      <c r="AP13" s="147">
        <v>97.552799195440841</v>
      </c>
      <c r="AQ13" s="187">
        <f>(AP13*'ADC''s, Trout'!W12)/100</f>
        <v>87.039981887545451</v>
      </c>
      <c r="AR13" s="253">
        <v>0.12291876187283496</v>
      </c>
      <c r="AS13" s="30" t="s">
        <v>174</v>
      </c>
      <c r="AT13" s="38">
        <v>61.459380936417482</v>
      </c>
      <c r="AU13" s="38">
        <v>2570.1195664320035</v>
      </c>
      <c r="AV13" s="20">
        <v>3.2405855402838309E-2</v>
      </c>
      <c r="AW13" s="20">
        <v>20.11397921555481</v>
      </c>
      <c r="AX13" s="303" t="s">
        <v>174</v>
      </c>
      <c r="AY13" s="38" t="s">
        <v>174</v>
      </c>
      <c r="AZ13" s="163">
        <v>0.12291876187283496</v>
      </c>
      <c r="BA13" s="61" t="s">
        <v>212</v>
      </c>
      <c r="BB13" s="20">
        <v>0.11174432897530451</v>
      </c>
      <c r="BC13" s="20">
        <v>0.34640741982344397</v>
      </c>
      <c r="BD13" s="20">
        <v>0.75986143703207065</v>
      </c>
      <c r="BE13" s="304">
        <v>35.758185272097442</v>
      </c>
      <c r="BF13" s="52"/>
    </row>
    <row r="14" spans="1:58">
      <c r="A14" s="269" t="s">
        <v>41</v>
      </c>
      <c r="B14" s="51">
        <v>94.53</v>
      </c>
      <c r="C14" s="195" t="s">
        <v>212</v>
      </c>
      <c r="D14" s="197" t="s">
        <v>212</v>
      </c>
      <c r="E14" s="195" t="s">
        <v>212</v>
      </c>
      <c r="F14" s="147">
        <v>87.379667830318411</v>
      </c>
      <c r="G14" s="148">
        <f>(F14*'ADC''s, Trout'!E13)/100</f>
        <v>76.020311012377022</v>
      </c>
      <c r="H14" s="55">
        <v>6422.1834338305298</v>
      </c>
      <c r="I14" s="207">
        <f>(H14*'ADC''s, Trout'!F13)/100</f>
        <v>5651.5214217708672</v>
      </c>
      <c r="J14" s="51">
        <v>3.6919496456151486</v>
      </c>
      <c r="K14" s="51">
        <f>(J14*'ADC''s, Trout'!G13)/100</f>
        <v>3.2684342656154008</v>
      </c>
      <c r="L14" s="147">
        <v>7.1934835501957046</v>
      </c>
      <c r="M14" s="148">
        <f>(L14*'ADC''s, Trout'!H13)/100</f>
        <v>6.621451672235775</v>
      </c>
      <c r="N14" s="51">
        <v>5.2575901830106844</v>
      </c>
      <c r="O14" s="51">
        <f>(N14*'ADC''s, Trout'!I13)/100</f>
        <v>4.2614804117597487</v>
      </c>
      <c r="P14" s="147">
        <v>7.3310060298317987</v>
      </c>
      <c r="Q14" s="148">
        <f>(P14*'ADC''s, Trout'!J13)/100</f>
        <v>6.3406589112377389</v>
      </c>
      <c r="R14" s="147">
        <v>6.4212419337776367</v>
      </c>
      <c r="S14" s="148">
        <f>(R14*'ADC''s, Trout'!K13)/100</f>
        <v>5.5168939704505533</v>
      </c>
      <c r="T14" s="51">
        <v>0.57124722310377662</v>
      </c>
      <c r="U14" s="51">
        <f>(T14*'ADC''s, Trout'!L13)/100</f>
        <v>0.50145495552574859</v>
      </c>
      <c r="V14" s="147">
        <v>4.0516238231249337</v>
      </c>
      <c r="W14" s="148">
        <f>(V14*'ADC''s, Trout'!M13)/100</f>
        <v>3.5297061900590858</v>
      </c>
      <c r="X14" s="51">
        <v>6.8549666772453195</v>
      </c>
      <c r="Y14" s="51">
        <f>(X14*'ADC''s, Trout'!N13)/100</f>
        <v>6.0457410648504739</v>
      </c>
      <c r="Z14" s="147">
        <v>1.2905955781233469</v>
      </c>
      <c r="AA14" s="148">
        <f>(Z14*'ADC''s, Trout'!O13)/100</f>
        <v>1.1813160604299404</v>
      </c>
      <c r="AB14" s="51">
        <v>0.5183539617052787</v>
      </c>
      <c r="AC14" s="51">
        <f>(AB14*'ADC''s, Trout'!P13)/100</f>
        <v>0.44210504673443313</v>
      </c>
      <c r="AD14" s="147">
        <v>4.5170845234317145</v>
      </c>
      <c r="AE14" s="148">
        <f>(AD14*'ADC''s, Trout'!Q13)/100</f>
        <v>4.1093612101916293</v>
      </c>
      <c r="AF14" s="51">
        <v>10.134348883952184</v>
      </c>
      <c r="AG14" s="197" t="s">
        <v>212</v>
      </c>
      <c r="AH14" s="147">
        <v>9.2880567015762185</v>
      </c>
      <c r="AI14" s="148">
        <f>(AH14*'ADC''s, Trout'!S13)/100</f>
        <v>8.4469493836029912</v>
      </c>
      <c r="AJ14" s="51">
        <v>3.9458373003279381</v>
      </c>
      <c r="AK14" s="51">
        <f>(AJ14*'ADC''s, Trout'!T13)/100</f>
        <v>3.4597753895073771</v>
      </c>
      <c r="AL14" s="147">
        <v>2.7716068972812864</v>
      </c>
      <c r="AM14" s="148">
        <f>(AL14*'ADC''s, Trout'!U13)/100</f>
        <v>2.3877225769474677</v>
      </c>
      <c r="AN14" s="147">
        <v>6.7068655453295243</v>
      </c>
      <c r="AO14" s="39">
        <f>(AN14*'ADC''s, Trout'!V13)/100</f>
        <v>5.7372859271935797</v>
      </c>
      <c r="AP14" s="147">
        <v>80.545858457632491</v>
      </c>
      <c r="AQ14" s="187">
        <f>(AP14*'ADC''s, Trout'!W13)/100</f>
        <v>70.625233406973905</v>
      </c>
      <c r="AR14" s="253">
        <v>0.23273035015339044</v>
      </c>
      <c r="AS14" s="127" t="s">
        <v>174</v>
      </c>
      <c r="AT14" s="38">
        <v>13.7</v>
      </c>
      <c r="AU14" s="38">
        <v>476.03935258648045</v>
      </c>
      <c r="AV14" s="20">
        <v>3.1735956839098696E-2</v>
      </c>
      <c r="AW14" s="20">
        <v>12.694382735639479</v>
      </c>
      <c r="AX14" s="303" t="s">
        <v>174</v>
      </c>
      <c r="AY14" s="38" t="s">
        <v>174</v>
      </c>
      <c r="AZ14" s="163">
        <v>0.1586797841954935</v>
      </c>
      <c r="BA14" s="61" t="s">
        <v>212</v>
      </c>
      <c r="BB14" s="20">
        <v>7.6166296413836862E-2</v>
      </c>
      <c r="BC14" s="20">
        <v>8.886067914947636E-2</v>
      </c>
      <c r="BD14" s="20">
        <v>1.904157410345922</v>
      </c>
      <c r="BE14" s="304">
        <v>116.36517507669522</v>
      </c>
      <c r="BF14" s="52"/>
    </row>
    <row r="15" spans="1:58">
      <c r="A15" s="269" t="s">
        <v>48</v>
      </c>
      <c r="B15" s="51">
        <v>96.025000000000006</v>
      </c>
      <c r="C15" s="195" t="s">
        <v>212</v>
      </c>
      <c r="D15" s="197" t="s">
        <v>212</v>
      </c>
      <c r="E15" s="195" t="s">
        <v>212</v>
      </c>
      <c r="F15" s="147">
        <v>66.394168185368386</v>
      </c>
      <c r="G15" s="148">
        <f>(F15*'ADC''s, Trout'!E14)/100</f>
        <v>58.426868003124184</v>
      </c>
      <c r="H15" s="55">
        <v>5621.994272324916</v>
      </c>
      <c r="I15" s="207">
        <f>(H15*'ADC''s, Trout'!F14)/100</f>
        <v>4947.3549596459261</v>
      </c>
      <c r="J15" s="51">
        <v>4.3322051549075757</v>
      </c>
      <c r="K15" s="51">
        <f>(J15*'ADC''s, Trout'!G14)/100</f>
        <v>3.8365519363410794</v>
      </c>
      <c r="L15" s="147">
        <v>5.5089820359281436</v>
      </c>
      <c r="M15" s="148">
        <f>(L15*'ADC''s, Trout'!H14)/100</f>
        <v>4.936488865302036</v>
      </c>
      <c r="N15" s="51">
        <v>5.1965633949492318</v>
      </c>
      <c r="O15" s="51">
        <f>(N15*'ADC''s, Trout'!I14)/100</f>
        <v>3.9852332926350531</v>
      </c>
      <c r="P15" s="147">
        <v>8.3519916688362397</v>
      </c>
      <c r="Q15" s="148">
        <f>(P15*'ADC''s, Trout'!J14)/100</f>
        <v>7.3616853059301333</v>
      </c>
      <c r="R15" s="147">
        <v>6.2067170007810466</v>
      </c>
      <c r="S15" s="148">
        <f>(R15*'ADC''s, Trout'!K14)/100</f>
        <v>5.3092810174155751</v>
      </c>
      <c r="T15" s="51">
        <v>1.3329862015100233</v>
      </c>
      <c r="U15" s="51">
        <f>(T15*'ADC''s, Trout'!L14)/100</f>
        <v>1.0419000889633367</v>
      </c>
      <c r="V15" s="147">
        <v>2.6034886748242645</v>
      </c>
      <c r="W15" s="148">
        <f>(V15*'ADC''s, Trout'!M14)/100</f>
        <v>2.0094386142398877</v>
      </c>
      <c r="X15" s="51">
        <v>4.6342098411871904</v>
      </c>
      <c r="Y15" s="51">
        <f>(X15*'ADC''s, Trout'!N14)/100</f>
        <v>4.0461974843701816</v>
      </c>
      <c r="Z15" s="147">
        <v>3.9156469669356935</v>
      </c>
      <c r="AA15" s="148">
        <f>(Z15*'ADC''s, Trout'!O14)/100</f>
        <v>3.4699287253895665</v>
      </c>
      <c r="AB15" s="51">
        <v>1.3746420203072116</v>
      </c>
      <c r="AC15" s="51">
        <f>(AB15*'ADC''s, Trout'!P14)/100</f>
        <v>1.1929473104518074</v>
      </c>
      <c r="AD15" s="147">
        <v>2.6659724030200467</v>
      </c>
      <c r="AE15" s="148">
        <f>(AD15*'ADC''s, Trout'!Q14)/100</f>
        <v>2.2471333203175523</v>
      </c>
      <c r="AF15" s="51">
        <v>4.2072376985160114</v>
      </c>
      <c r="AG15" s="197" t="s">
        <v>212</v>
      </c>
      <c r="AH15" s="147">
        <v>2.5618328560270762</v>
      </c>
      <c r="AI15" s="148">
        <f>(AH15*'ADC''s, Trout'!S14)/100</f>
        <v>2.2101484653040551</v>
      </c>
      <c r="AJ15" s="51">
        <v>2.6243165842228584</v>
      </c>
      <c r="AK15" s="51">
        <f>(AJ15*'ADC''s, Trout'!T14)/100</f>
        <v>2.1502014709349386</v>
      </c>
      <c r="AL15" s="147">
        <v>2.1661025774537879</v>
      </c>
      <c r="AM15" s="148">
        <f>(AL15*'ADC''s, Trout'!U14)/100</f>
        <v>1.7982974504014699</v>
      </c>
      <c r="AN15" s="147">
        <v>3.1346003644884139</v>
      </c>
      <c r="AO15" s="39">
        <f>(AN15*'ADC''s, Trout'!V14)/100</f>
        <v>2.5245685735919801</v>
      </c>
      <c r="AP15" s="147">
        <v>60.817495443894821</v>
      </c>
      <c r="AQ15" s="187">
        <f>(AP15*'ADC''s, Trout'!W14)/100</f>
        <v>51.194172589098628</v>
      </c>
      <c r="AR15" s="253">
        <v>3.1241864097891172</v>
      </c>
      <c r="AS15" s="30" t="s">
        <v>174</v>
      </c>
      <c r="AT15" s="38">
        <v>22.9</v>
      </c>
      <c r="AU15" s="38">
        <v>437.38609737047642</v>
      </c>
      <c r="AV15" s="20">
        <v>0.14579536579015881</v>
      </c>
      <c r="AW15" s="20">
        <v>10.41395469929706</v>
      </c>
      <c r="AX15" s="127" t="s">
        <v>174</v>
      </c>
      <c r="AY15" s="38">
        <f>0.000260348867482426*10000</f>
        <v>2.6034886748242601</v>
      </c>
      <c r="AZ15" s="163">
        <v>2.3952095808383227</v>
      </c>
      <c r="BA15" s="349">
        <f>(AZ15*'[1]ADC''s, Trout'!X15)/100</f>
        <v>1.5329341317365266</v>
      </c>
      <c r="BB15" s="20">
        <v>0.89560010413954694</v>
      </c>
      <c r="BC15" s="20">
        <v>0.69773496485290287</v>
      </c>
      <c r="BD15" s="20">
        <v>0.76021869304868517</v>
      </c>
      <c r="BE15" s="304">
        <v>102.05675605311116</v>
      </c>
      <c r="BF15" s="52"/>
    </row>
    <row r="16" spans="1:58">
      <c r="A16" s="269" t="s">
        <v>45</v>
      </c>
      <c r="B16" s="51">
        <v>94.325000000000003</v>
      </c>
      <c r="C16" s="195" t="s">
        <v>212</v>
      </c>
      <c r="D16" s="197" t="s">
        <v>212</v>
      </c>
      <c r="E16" s="195" t="s">
        <v>212</v>
      </c>
      <c r="F16" s="147">
        <v>72.16326530612244</v>
      </c>
      <c r="G16" s="148">
        <f>(F16*'ADC''s, Trout'!E15)/100</f>
        <v>71.44163265306122</v>
      </c>
      <c r="H16" s="55">
        <v>5212.4993373972957</v>
      </c>
      <c r="I16" s="207">
        <f>(H16*'ADC''s, Trout'!F15)/100</f>
        <v>4951.874370527431</v>
      </c>
      <c r="J16" s="51">
        <v>3.0744765438642987</v>
      </c>
      <c r="K16" s="51">
        <f>(J16*'ADC''s, Trout'!G15)/100</f>
        <v>3.0390484362603263</v>
      </c>
      <c r="L16" s="147">
        <v>6.7532467532467528</v>
      </c>
      <c r="M16" s="148">
        <f>(L16*'ADC''s, Trout'!H15)/100</f>
        <v>6.5948574947916505</v>
      </c>
      <c r="N16" s="51">
        <v>8.0466472303206995</v>
      </c>
      <c r="O16" s="51">
        <f>(N16*'ADC''s, Trout'!I15)/100</f>
        <v>7.6228901669733879</v>
      </c>
      <c r="P16" s="147">
        <v>13.029419560031803</v>
      </c>
      <c r="Q16" s="148">
        <f>(P16*'ADC''s, Trout'!J15)/100</f>
        <v>12.813665061171541</v>
      </c>
      <c r="R16" s="147">
        <v>3.0214683275907768</v>
      </c>
      <c r="S16" s="148">
        <f>(R16*'ADC''s, Trout'!K15)/100</f>
        <v>2.9881156710242283</v>
      </c>
      <c r="T16" s="51">
        <v>1.8128809965544659</v>
      </c>
      <c r="U16" s="51">
        <f>(T16*'ADC''s, Trout'!L15)/100</f>
        <v>1.7512788441945784</v>
      </c>
      <c r="V16" s="147">
        <v>3.3925258415054333</v>
      </c>
      <c r="W16" s="148">
        <f>(V16*'ADC''s, Trout'!M15)/100</f>
        <v>3.1227794597629912</v>
      </c>
      <c r="X16" s="51">
        <v>5.6506758547574876</v>
      </c>
      <c r="Y16" s="51">
        <f>(X16*'ADC''s, Trout'!N15)/100</f>
        <v>5.459664453082028</v>
      </c>
      <c r="Z16" s="147">
        <v>4.2830638749006091</v>
      </c>
      <c r="AA16" s="148">
        <f>(Z16*'ADC''s, Trout'!O15)/100</f>
        <v>4.1350939835599041</v>
      </c>
      <c r="AB16" s="51">
        <v>1.0177577524516299</v>
      </c>
      <c r="AC16" s="51">
        <f>(AB16*'ADC''s, Trout'!P15)/100</f>
        <v>0.98199331944561308</v>
      </c>
      <c r="AD16" s="147">
        <v>3.8377948582030212</v>
      </c>
      <c r="AE16" s="148">
        <f>(AD16*'ADC''s, Trout'!Q15)/100</f>
        <v>3.6746850858925608</v>
      </c>
      <c r="AF16" s="51">
        <v>3.7953882851842033</v>
      </c>
      <c r="AG16" s="197" t="s">
        <v>212</v>
      </c>
      <c r="AH16" s="147">
        <v>3.9226080042406575</v>
      </c>
      <c r="AI16" s="148">
        <f>(AH16*'ADC''s, Trout'!S15)/100</f>
        <v>3.8739849632838421</v>
      </c>
      <c r="AJ16" s="51">
        <v>3.0532732573548897</v>
      </c>
      <c r="AK16" s="51">
        <f>(AJ16*'ADC''s, Trout'!T15)/100</f>
        <v>2.8388802054369586</v>
      </c>
      <c r="AL16" s="147">
        <v>2.947256824807845</v>
      </c>
      <c r="AM16" s="148">
        <f>(AL16*'ADC''s, Trout'!U15)/100</f>
        <v>2.8317073201349392</v>
      </c>
      <c r="AN16" s="147">
        <v>3.5303472038165915</v>
      </c>
      <c r="AO16" s="39">
        <f>(AN16*'ADC''s, Trout'!V15)/100</f>
        <v>3.2821338627330401</v>
      </c>
      <c r="AP16" s="147">
        <v>71.168831168831176</v>
      </c>
      <c r="AQ16" s="187">
        <f>(AP16*'ADC''s, Trout'!W15)/100</f>
        <v>68.479365627656179</v>
      </c>
      <c r="AR16" s="253">
        <v>0.39226080042406569</v>
      </c>
      <c r="AS16" s="30" t="s">
        <v>174</v>
      </c>
      <c r="AT16" s="38">
        <v>27.5</v>
      </c>
      <c r="AU16" s="38">
        <v>212.03286509408957</v>
      </c>
      <c r="AV16" s="20">
        <v>0.33925258415054332</v>
      </c>
      <c r="AW16" s="20">
        <v>57.24887357540419</v>
      </c>
      <c r="AX16" s="38">
        <f>0.000243837794858203*10000</f>
        <v>2.4383779485820298</v>
      </c>
      <c r="AY16" s="38">
        <f>0.000477073946461702*10000</f>
        <v>4.7707394646170203</v>
      </c>
      <c r="AZ16" s="163">
        <v>0.98595282268751649</v>
      </c>
      <c r="BA16" s="61" t="s">
        <v>212</v>
      </c>
      <c r="BB16" s="20">
        <v>1.484230055658627</v>
      </c>
      <c r="BC16" s="20">
        <v>0.31804929764113438</v>
      </c>
      <c r="BD16" s="20">
        <v>0.72091174131990454</v>
      </c>
      <c r="BE16" s="304">
        <v>43.466737344288369</v>
      </c>
      <c r="BF16" s="52"/>
    </row>
    <row r="17" spans="1:58">
      <c r="A17" s="269" t="s">
        <v>42</v>
      </c>
      <c r="B17" s="51">
        <v>91.045000000000002</v>
      </c>
      <c r="C17" s="195" t="s">
        <v>212</v>
      </c>
      <c r="D17" s="197" t="s">
        <v>212</v>
      </c>
      <c r="E17" s="195" t="s">
        <v>212</v>
      </c>
      <c r="F17" s="147">
        <v>70.192761821077482</v>
      </c>
      <c r="G17" s="148">
        <f>(F17*'ADC''s, Trout'!E16)/100</f>
        <v>64.577340875391286</v>
      </c>
      <c r="H17" s="55">
        <v>5935.1309791861177</v>
      </c>
      <c r="I17" s="207">
        <f>(H17*'ADC''s, Trout'!F16)/100</f>
        <v>5044.8613323082</v>
      </c>
      <c r="J17" s="51">
        <v>5.843264319841837</v>
      </c>
      <c r="K17" s="51">
        <f>(J17*'ADC''s, Trout'!G16)/100</f>
        <v>5.6059346169598347</v>
      </c>
      <c r="L17" s="147">
        <v>2.7349113075951457</v>
      </c>
      <c r="M17" s="148">
        <f>(L17*'ADC''s, Trout'!H16)/100</f>
        <v>2.714598748993172</v>
      </c>
      <c r="N17" s="51">
        <v>4.1627766489098796</v>
      </c>
      <c r="O17" s="51">
        <f>(N17*'ADC''s, Trout'!I16)/100</f>
        <v>4.0971341999677744</v>
      </c>
      <c r="P17" s="147">
        <v>14.388489208633093</v>
      </c>
      <c r="Q17" s="148">
        <f>(P17*'ADC''s, Trout'!J16)/100</f>
        <v>14.009324296620003</v>
      </c>
      <c r="R17" s="147">
        <v>1.9221264210006042</v>
      </c>
      <c r="S17" s="148">
        <f>(R17*'ADC''s, Trout'!K16)/100</f>
        <v>1.9221264210006042</v>
      </c>
      <c r="T17" s="51">
        <v>1.3399967049261354</v>
      </c>
      <c r="U17" s="51">
        <f>(T17*'ADC''s, Trout'!L16)/100</f>
        <v>1.284602589737694</v>
      </c>
      <c r="V17" s="147">
        <v>2.9106485803723432</v>
      </c>
      <c r="W17" s="148">
        <f>(V17*'ADC''s, Trout'!M16)/100</f>
        <v>2.6530070285615102</v>
      </c>
      <c r="X17" s="51">
        <v>11.324070514580702</v>
      </c>
      <c r="Y17" s="51">
        <f>(X17*'ADC''s, Trout'!N16)/100</f>
        <v>10.985507132481809</v>
      </c>
      <c r="Z17" s="147">
        <v>1.2521280685375362</v>
      </c>
      <c r="AA17" s="148">
        <f>(Z17*'ADC''s, Trout'!O16)/100</f>
        <v>1.1385273219286376</v>
      </c>
      <c r="AB17" s="51">
        <v>1.5157339777033334</v>
      </c>
      <c r="AC17" s="51">
        <f>(AB17*'ADC''s, Trout'!P16)/100</f>
        <v>1.4005286789462363</v>
      </c>
      <c r="AD17" s="147">
        <v>4.5911362513042997</v>
      </c>
      <c r="AE17" s="148">
        <f>(AD17*'ADC''s, Trout'!Q16)/100</f>
        <v>4.3600648597014535</v>
      </c>
      <c r="AF17" s="51">
        <v>6.3704761381734309</v>
      </c>
      <c r="AG17" s="197" t="s">
        <v>212</v>
      </c>
      <c r="AH17" s="147">
        <v>3.7893349442583339</v>
      </c>
      <c r="AI17" s="148">
        <f>(AH17*'ADC''s, Trout'!S16)/100</f>
        <v>3.6568114212266956</v>
      </c>
      <c r="AJ17" s="51">
        <v>2.5152397166236478</v>
      </c>
      <c r="AK17" s="51">
        <f>(AJ17*'ADC''s, Trout'!T16)/100</f>
        <v>2.3411819006986097</v>
      </c>
      <c r="AL17" s="147">
        <v>3.9101543192926576</v>
      </c>
      <c r="AM17" s="148">
        <f>(AL17*'ADC''s, Trout'!U16)/100</f>
        <v>3.7174428560025921</v>
      </c>
      <c r="AN17" s="147">
        <v>3.2401559668295898</v>
      </c>
      <c r="AO17" s="39">
        <f>(AN17*'ADC''s, Trout'!V16)/100</f>
        <v>3.052664034198636</v>
      </c>
      <c r="AP17" s="147">
        <v>71.81064308858258</v>
      </c>
      <c r="AQ17" s="187">
        <f>(AP17*'ADC''s, Trout'!W16)/100</f>
        <v>68.563347440738454</v>
      </c>
      <c r="AR17" s="253">
        <v>5.8212971607446866E-2</v>
      </c>
      <c r="AS17" s="30" t="s">
        <v>174</v>
      </c>
      <c r="AT17" s="38">
        <v>14.2</v>
      </c>
      <c r="AU17" s="38">
        <v>263.60590916579713</v>
      </c>
      <c r="AV17" s="20">
        <v>5.711461365258938E-2</v>
      </c>
      <c r="AW17" s="20">
        <v>7.4688340930309192</v>
      </c>
      <c r="AX17" s="139" t="s">
        <v>174</v>
      </c>
      <c r="AY17" s="38" t="s">
        <v>174</v>
      </c>
      <c r="AZ17" s="163">
        <v>0.63704761381734298</v>
      </c>
      <c r="BA17" s="61" t="s">
        <v>212</v>
      </c>
      <c r="BB17" s="20">
        <v>0.19770443187434786</v>
      </c>
      <c r="BC17" s="20">
        <v>5.3819539788016915E-2</v>
      </c>
      <c r="BD17" s="20">
        <v>1.010489318468889</v>
      </c>
      <c r="BE17" s="304">
        <v>29.655664781152179</v>
      </c>
      <c r="BF17" s="52"/>
    </row>
    <row r="18" spans="1:58">
      <c r="A18" s="269" t="s">
        <v>46</v>
      </c>
      <c r="B18" s="51">
        <v>93.41</v>
      </c>
      <c r="C18" s="195" t="s">
        <v>212</v>
      </c>
      <c r="D18" s="197" t="s">
        <v>212</v>
      </c>
      <c r="E18" s="195" t="s">
        <v>212</v>
      </c>
      <c r="F18" s="147">
        <v>83.265175034792861</v>
      </c>
      <c r="G18" s="148">
        <f>(F18*'ADC''s, Trout'!E17)/100</f>
        <v>83.265175034792861</v>
      </c>
      <c r="H18" s="55">
        <v>5822.7705813082121</v>
      </c>
      <c r="I18" s="207">
        <f>(H18*'ADC''s, Trout'!F17)/100</f>
        <v>5764.5428754951308</v>
      </c>
      <c r="J18" s="51">
        <v>2.1196873996360135</v>
      </c>
      <c r="K18" s="51">
        <f>(J18*'ADC''s, Trout'!G17)/100</f>
        <v>2.0649313422345248</v>
      </c>
      <c r="L18" s="147">
        <v>3.5863397923134572</v>
      </c>
      <c r="M18" s="148">
        <f>(L18*'ADC''s, Trout'!H17)/100</f>
        <v>3.4750054886992512</v>
      </c>
      <c r="N18" s="51">
        <v>2.6335510116689864</v>
      </c>
      <c r="O18" s="51">
        <f>(N18*'ADC''s, Trout'!I17)/100</f>
        <v>2.4815173598781284</v>
      </c>
      <c r="P18" s="147">
        <v>29.975377368590088</v>
      </c>
      <c r="Q18" s="148">
        <f>(P18*'ADC''s, Trout'!J17)/100</f>
        <v>29.658370194196536</v>
      </c>
      <c r="R18" s="147">
        <v>2.7191949470078152</v>
      </c>
      <c r="S18" s="148">
        <f>(R18*'ADC''s, Trout'!K17)/100</f>
        <v>2.5969820520711209</v>
      </c>
      <c r="T18" s="51">
        <v>1.7449951825286372</v>
      </c>
      <c r="U18" s="51">
        <f>(T18*'ADC''s, Trout'!L17)/100</f>
        <v>1.6549407310732489</v>
      </c>
      <c r="V18" s="147">
        <v>3.2544695428754955</v>
      </c>
      <c r="W18" s="148">
        <f>(V18*'ADC''s, Trout'!M17)/100</f>
        <v>2.9918519378256763</v>
      </c>
      <c r="X18" s="51">
        <v>5.866609570709775</v>
      </c>
      <c r="Y18" s="51">
        <f>(X18*'ADC''s, Trout'!N17)/100</f>
        <v>5.7038493155662229</v>
      </c>
      <c r="Z18" s="147">
        <v>1.295364521999786</v>
      </c>
      <c r="AA18" s="148">
        <f>(Z18*'ADC''s, Trout'!O17)/100</f>
        <v>1.2277744092524769</v>
      </c>
      <c r="AB18" s="51">
        <v>1.5522963280162725</v>
      </c>
      <c r="AC18" s="51">
        <f>(AB18*'ADC''s, Trout'!P17)/100</f>
        <v>1.5072580278812933</v>
      </c>
      <c r="AD18" s="147">
        <v>4.2929022588587946</v>
      </c>
      <c r="AE18" s="148">
        <f>(AD18*'ADC''s, Trout'!Q17)/100</f>
        <v>4.167833662595906</v>
      </c>
      <c r="AF18" s="51">
        <v>11.155122577882455</v>
      </c>
      <c r="AG18" s="197" t="s">
        <v>212</v>
      </c>
      <c r="AH18" s="147">
        <v>4.1109088962637834</v>
      </c>
      <c r="AI18" s="148">
        <f>(AH18*'ADC''s, Trout'!S17)/100</f>
        <v>4.0385640570383128</v>
      </c>
      <c r="AJ18" s="51">
        <v>2.3016807622310247</v>
      </c>
      <c r="AK18" s="51">
        <f>(AJ18*'ADC''s, Trout'!T17)/100</f>
        <v>2.1567578959236808</v>
      </c>
      <c r="AL18" s="147">
        <v>2.8690718338507657</v>
      </c>
      <c r="AM18" s="148">
        <f>(AL18*'ADC''s, Trout'!U17)/100</f>
        <v>2.763338764573195</v>
      </c>
      <c r="AN18" s="147">
        <v>3.5756343003961035</v>
      </c>
      <c r="AO18" s="39">
        <f>(AN18*'ADC''s, Trout'!V17)/100</f>
        <v>3.3711718050616368</v>
      </c>
      <c r="AP18" s="147">
        <v>83.053206294829266</v>
      </c>
      <c r="AQ18" s="187">
        <f>(AP18*'ADC''s, Trout'!W17)/100</f>
        <v>79.647502859885122</v>
      </c>
      <c r="AR18" s="253">
        <v>7.3867894229739869E-2</v>
      </c>
      <c r="AS18" s="23" t="s">
        <v>174</v>
      </c>
      <c r="AT18" s="38">
        <v>42.821967669414413</v>
      </c>
      <c r="AU18" s="38">
        <v>41.751418477679046</v>
      </c>
      <c r="AV18" s="20">
        <v>2.6763729793384008E-2</v>
      </c>
      <c r="AW18" s="20">
        <v>16.058237876030404</v>
      </c>
      <c r="AX18" s="139" t="s">
        <v>174</v>
      </c>
      <c r="AY18" s="38" t="s">
        <v>174</v>
      </c>
      <c r="AZ18" s="163">
        <v>0.17128787067765763</v>
      </c>
      <c r="BA18" s="61" t="s">
        <v>212</v>
      </c>
      <c r="BB18" s="20">
        <v>0.11776041109088962</v>
      </c>
      <c r="BC18" s="20">
        <v>1.9269885451236483E-2</v>
      </c>
      <c r="BD18" s="20">
        <v>0.80291189380152017</v>
      </c>
      <c r="BE18" s="304">
        <v>32.116475752060808</v>
      </c>
      <c r="BF18" s="52"/>
    </row>
    <row r="19" spans="1:58">
      <c r="A19" s="273" t="s">
        <v>180</v>
      </c>
      <c r="B19" s="51">
        <v>92.424999999999997</v>
      </c>
      <c r="C19" s="195" t="s">
        <v>212</v>
      </c>
      <c r="D19" s="197" t="s">
        <v>212</v>
      </c>
      <c r="E19" s="195" t="s">
        <v>212</v>
      </c>
      <c r="F19" s="147">
        <v>84.738977549364336</v>
      </c>
      <c r="G19" s="148">
        <f>(F19*'ADC''s, Trout'!E18)/100</f>
        <v>75.417690018934266</v>
      </c>
      <c r="H19" s="55">
        <v>6067.5682986205029</v>
      </c>
      <c r="I19" s="207">
        <f>(H19*'ADC''s, Trout'!F18)/100</f>
        <v>5460.811468758453</v>
      </c>
      <c r="J19" s="51">
        <v>4.3386529618609684</v>
      </c>
      <c r="K19" s="51">
        <f>(J19*'ADC''s, Trout'!G18)/100</f>
        <v>3.8108056800365646</v>
      </c>
      <c r="L19" s="147">
        <v>8.9477955098728685</v>
      </c>
      <c r="M19" s="148">
        <f>(L19*'ADC''s, Trout'!H18)/100</f>
        <v>8.6043307068844914</v>
      </c>
      <c r="N19" s="51">
        <v>8.9477955098728685</v>
      </c>
      <c r="O19" s="51">
        <f>(N19*'ADC''s, Trout'!I18)/100</f>
        <v>8.179161035997712</v>
      </c>
      <c r="P19" s="147">
        <v>12.875304300784419</v>
      </c>
      <c r="Q19" s="148">
        <f>(P19*'ADC''s, Trout'!J18)/100</f>
        <v>10.942683759151951</v>
      </c>
      <c r="R19" s="147">
        <v>3.3540708682715716</v>
      </c>
      <c r="S19" s="148">
        <f>(R19*'ADC''s, Trout'!K18)/100</f>
        <v>3.1249753974281589</v>
      </c>
      <c r="T19" s="51">
        <v>1.8717879361644576</v>
      </c>
      <c r="U19" s="51">
        <f>(T19*'ADC''s, Trout'!L18)/100</f>
        <v>1.5387844356945926</v>
      </c>
      <c r="V19" s="147">
        <v>3.6137408709764673</v>
      </c>
      <c r="W19" s="148">
        <f>(V19*'ADC''s, Trout'!M18)/100</f>
        <v>2.6678719515613216</v>
      </c>
      <c r="X19" s="51">
        <v>6.9894509061401138</v>
      </c>
      <c r="Y19" s="51">
        <f>(X19*'ADC''s, Trout'!N18)/100</f>
        <v>5.9928287902557864</v>
      </c>
      <c r="Z19" s="147">
        <v>2.7481741952934811</v>
      </c>
      <c r="AA19" s="148">
        <f>(Z19*'ADC''s, Trout'!O18)/100</f>
        <v>2.5885351046760485</v>
      </c>
      <c r="AB19" s="51">
        <v>1.915066269948607</v>
      </c>
      <c r="AC19" s="51">
        <f>(AB19*'ADC''s, Trout'!P18)/100</f>
        <v>1.3248431235687215</v>
      </c>
      <c r="AD19" s="147">
        <v>4.717338382472275</v>
      </c>
      <c r="AE19" s="148">
        <f>(AD19*'ADC''s, Trout'!Q18)/100</f>
        <v>4.0427900555669325</v>
      </c>
      <c r="AF19" s="51">
        <v>3.8084933730051391</v>
      </c>
      <c r="AG19" s="197" t="s">
        <v>212</v>
      </c>
      <c r="AH19" s="147">
        <v>3.7760346226670274</v>
      </c>
      <c r="AI19" s="148">
        <f>(AH19*'ADC''s, Trout'!S18)/100</f>
        <v>3.528308036360825</v>
      </c>
      <c r="AJ19" s="51">
        <v>3.0619421152285637</v>
      </c>
      <c r="AK19" s="51">
        <f>(AJ19*'ADC''s, Trout'!T18)/100</f>
        <v>2.6137991777173148</v>
      </c>
      <c r="AL19" s="147">
        <v>4.7822558831484985</v>
      </c>
      <c r="AM19" s="148">
        <f>(AL19*'ADC''s, Trout'!U18)/100</f>
        <v>3.9768865043708326</v>
      </c>
      <c r="AN19" s="147">
        <v>4.9229104679469842</v>
      </c>
      <c r="AO19" s="39">
        <f>(AN19*'ADC''s, Trout'!V18)/100</f>
        <v>3.9009239822223538</v>
      </c>
      <c r="AP19" s="147">
        <v>80.670814173654293</v>
      </c>
      <c r="AQ19" s="187">
        <f>(AP19*'ADC''s, Trout'!W18)/100</f>
        <v>69.141091878605891</v>
      </c>
      <c r="AR19" s="253">
        <v>4.2196375439545577E-3</v>
      </c>
      <c r="AS19" s="20">
        <v>0.17311333513659724</v>
      </c>
      <c r="AT19" s="38">
        <v>18.3</v>
      </c>
      <c r="AU19" s="38">
        <v>129.83500135244793</v>
      </c>
      <c r="AV19" s="20">
        <v>6.4917500676223965E-3</v>
      </c>
      <c r="AW19" s="20">
        <v>6.1671625642412762</v>
      </c>
      <c r="AX19" s="38">
        <f>0.000735731674330538*10000</f>
        <v>7.3573167433053799</v>
      </c>
      <c r="AY19" s="38" t="s">
        <v>174</v>
      </c>
      <c r="AZ19" s="163">
        <v>0.46524208817960511</v>
      </c>
      <c r="BA19" s="61" t="s">
        <v>212</v>
      </c>
      <c r="BB19" s="20">
        <v>2.272112523667839E-2</v>
      </c>
      <c r="BC19" s="20">
        <v>0.15147416824452262</v>
      </c>
      <c r="BD19" s="20">
        <v>1.1901541790641061</v>
      </c>
      <c r="BE19" s="304">
        <v>106.03191777116581</v>
      </c>
      <c r="BF19" s="52"/>
    </row>
    <row r="20" spans="1:58">
      <c r="A20" s="273" t="s">
        <v>181</v>
      </c>
      <c r="B20" s="51">
        <v>91.034999999999997</v>
      </c>
      <c r="C20" s="195" t="s">
        <v>212</v>
      </c>
      <c r="D20" s="197" t="s">
        <v>212</v>
      </c>
      <c r="E20" s="195" t="s">
        <v>212</v>
      </c>
      <c r="F20" s="147">
        <v>30.461910254297798</v>
      </c>
      <c r="G20" s="148">
        <f>(F20*'ADC''s, Trout'!E19)/100</f>
        <v>28.024957433953972</v>
      </c>
      <c r="H20" s="55">
        <v>5055.5280935903775</v>
      </c>
      <c r="I20" s="207">
        <f>(H20*'ADC''s, Trout'!F19)/100</f>
        <v>4145.5330367441093</v>
      </c>
      <c r="J20" s="51">
        <v>0.9556763882023398</v>
      </c>
      <c r="K20" s="51">
        <f>(J20*'ADC''s, Trout'!G19)/100</f>
        <v>0.82171552650922319</v>
      </c>
      <c r="L20" s="147">
        <v>2.1200637117592134</v>
      </c>
      <c r="M20" s="148">
        <f>(L20*'ADC''s, Trout'!H19)/100</f>
        <v>1.9740099021380055</v>
      </c>
      <c r="N20" s="51">
        <v>1.7762399077277971</v>
      </c>
      <c r="O20" s="51">
        <f>(N20*'ADC''s, Trout'!I19)/100</f>
        <v>1.5908841965500489</v>
      </c>
      <c r="P20" s="147">
        <v>6.0723897402098093</v>
      </c>
      <c r="Q20" s="148">
        <f>(P20*'ADC''s, Trout'!J19)/100</f>
        <v>5.743835194170031</v>
      </c>
      <c r="R20" s="147">
        <v>0.93260833745262806</v>
      </c>
      <c r="S20" s="148">
        <f>(R20*'ADC''s, Trout'!K19)/100</f>
        <v>0.83103477266257286</v>
      </c>
      <c r="T20" s="51">
        <v>0.59427692645685726</v>
      </c>
      <c r="U20" s="51">
        <f>(T20*'ADC''s, Trout'!L19)/100</f>
        <v>0.52886707616238915</v>
      </c>
      <c r="V20" s="147">
        <v>1.1017740429505134</v>
      </c>
      <c r="W20" s="148">
        <f>(V20*'ADC''s, Trout'!M19)/100</f>
        <v>0.88002635504624915</v>
      </c>
      <c r="X20" s="51">
        <v>1.9487010490470698</v>
      </c>
      <c r="Y20" s="51">
        <f>(X20*'ADC''s, Trout'!N19)/100</f>
        <v>1.7715421199398416</v>
      </c>
      <c r="Z20" s="147">
        <v>1.000714011094634</v>
      </c>
      <c r="AA20" s="148">
        <f>(Z20*'ADC''s, Trout'!O19)/100</f>
        <v>0.84979527506994001</v>
      </c>
      <c r="AB20" s="51">
        <v>0.38446751249519412</v>
      </c>
      <c r="AC20" s="51">
        <f>(AB20*'ADC''s, Trout'!P19)/100</f>
        <v>0.31901026089425455</v>
      </c>
      <c r="AD20" s="147">
        <v>1.5873015873015874</v>
      </c>
      <c r="AE20" s="148">
        <f>(AD20*'ADC''s, Trout'!Q19)/100</f>
        <v>1.4448658135402948</v>
      </c>
      <c r="AF20" s="51">
        <v>2.9867633327840939</v>
      </c>
      <c r="AG20" s="197" t="s">
        <v>212</v>
      </c>
      <c r="AH20" s="147">
        <v>1.0281759762728622</v>
      </c>
      <c r="AI20" s="148">
        <f>(AH20*'ADC''s, Trout'!S19)/100</f>
        <v>1.0184930019341096</v>
      </c>
      <c r="AJ20" s="51">
        <v>0.93919920909540289</v>
      </c>
      <c r="AK20" s="51">
        <f>(AJ20*'ADC''s, Trout'!T19)/100</f>
        <v>0.8152801060843009</v>
      </c>
      <c r="AL20" s="147">
        <v>1.0424561981655407</v>
      </c>
      <c r="AM20" s="148">
        <f>(AL20*'ADC''s, Trout'!U19)/100</f>
        <v>0.92575877418033226</v>
      </c>
      <c r="AN20" s="147">
        <v>1.3774921733399241</v>
      </c>
      <c r="AO20" s="39">
        <f>(AN20*'ADC''s, Trout'!V19)/100</f>
        <v>1.2213853717495307</v>
      </c>
      <c r="AP20" s="147">
        <v>25.84830010435547</v>
      </c>
      <c r="AQ20" s="187">
        <f>(AP20*'ADC''s, Trout'!W19)/100</f>
        <v>22.994458678998999</v>
      </c>
      <c r="AR20" s="253">
        <v>4.7234580106552425E-2</v>
      </c>
      <c r="AS20" s="175" t="s">
        <v>174</v>
      </c>
      <c r="AT20" s="38">
        <v>8.1</v>
      </c>
      <c r="AU20" s="38">
        <v>197.72614928324268</v>
      </c>
      <c r="AV20" s="20">
        <v>0.20871093535453397</v>
      </c>
      <c r="AW20" s="20">
        <v>18.674136321195142</v>
      </c>
      <c r="AX20" s="38">
        <f>0.00026363486571099*10000</f>
        <v>2.6363486571098997</v>
      </c>
      <c r="AY20" s="38" t="s">
        <v>174</v>
      </c>
      <c r="AZ20" s="163">
        <v>0.68105673642005826</v>
      </c>
      <c r="BA20" s="61" t="s">
        <v>212</v>
      </c>
      <c r="BB20" s="20">
        <v>0.7469654528478058</v>
      </c>
      <c r="BC20" s="20">
        <v>2.306805074971165E-2</v>
      </c>
      <c r="BD20" s="20">
        <v>0.27461965178228154</v>
      </c>
      <c r="BE20" s="304">
        <v>75.795023891909707</v>
      </c>
      <c r="BF20" s="52"/>
    </row>
    <row r="21" spans="1:58">
      <c r="A21" s="269" t="s">
        <v>49</v>
      </c>
      <c r="B21" s="51">
        <v>91.76</v>
      </c>
      <c r="C21" s="195" t="s">
        <v>212</v>
      </c>
      <c r="D21" s="197" t="s">
        <v>212</v>
      </c>
      <c r="E21" s="195" t="s">
        <v>212</v>
      </c>
      <c r="F21" s="147">
        <v>53.894943330427196</v>
      </c>
      <c r="G21" s="148">
        <f>(F21*'ADC''s, Trout'!E20)/100</f>
        <v>47.966499564080202</v>
      </c>
      <c r="H21" s="55">
        <v>4981.0156931124666</v>
      </c>
      <c r="I21" s="207">
        <f>(H21*'ADC''s, Trout'!F20)/100</f>
        <v>3835.3820836965988</v>
      </c>
      <c r="J21" s="51">
        <v>2.092414995640802</v>
      </c>
      <c r="K21" s="51">
        <f>(J21*'ADC''s, Trout'!G20)/100</f>
        <v>2.0148665584587673</v>
      </c>
      <c r="L21" s="147">
        <v>4.8931996512641671</v>
      </c>
      <c r="M21" s="148">
        <f>(L21*'ADC''s, Trout'!H20)/100</f>
        <v>4.8152692416428842</v>
      </c>
      <c r="N21" s="51">
        <v>5.6124673060156933</v>
      </c>
      <c r="O21" s="51">
        <f>(N21*'ADC''s, Trout'!I20)/100</f>
        <v>5.6124673060156933</v>
      </c>
      <c r="P21" s="147">
        <v>8.0863121185701825</v>
      </c>
      <c r="Q21" s="148">
        <f>(P21*'ADC''s, Trout'!J20)/100</f>
        <v>7.8118051935474488</v>
      </c>
      <c r="R21" s="147">
        <v>2.0706190061028766</v>
      </c>
      <c r="S21" s="148">
        <f>(R21*'ADC''s, Trout'!K20)/100</f>
        <v>2.0706190061028766</v>
      </c>
      <c r="T21" s="51">
        <v>1.3077593722755012</v>
      </c>
      <c r="U21" s="51">
        <f>(T21*'ADC''s, Trout'!L20)/100</f>
        <v>1.3077593722755012</v>
      </c>
      <c r="V21" s="147">
        <v>2.4411508282476024</v>
      </c>
      <c r="W21" s="148">
        <f>(V21*'ADC''s, Trout'!M20)/100</f>
        <v>2.4053070364249591</v>
      </c>
      <c r="X21" s="51">
        <v>3.9886660854402787</v>
      </c>
      <c r="Y21" s="51">
        <f>(X21*'ADC''s, Trout'!N20)/100</f>
        <v>3.8973316674900156</v>
      </c>
      <c r="Z21" s="147">
        <v>2.99694856146469</v>
      </c>
      <c r="AA21" s="148">
        <f>(Z21*'ADC''s, Trout'!O20)/100</f>
        <v>2.796270062062939</v>
      </c>
      <c r="AB21" s="51">
        <v>0.6538796861377506</v>
      </c>
      <c r="AC21" s="51">
        <f>(AB21*'ADC''s, Trout'!P20)/100</f>
        <v>0.58722550081323133</v>
      </c>
      <c r="AD21" s="147">
        <v>2.7462946817785525</v>
      </c>
      <c r="AE21" s="148">
        <f>(AD21*'ADC''s, Trout'!Q20)/100</f>
        <v>2.6011323241391797</v>
      </c>
      <c r="AF21" s="51">
        <v>2.4520488230165647</v>
      </c>
      <c r="AG21" s="197" t="s">
        <v>212</v>
      </c>
      <c r="AH21" s="147">
        <v>2.4193548387096775</v>
      </c>
      <c r="AI21" s="148">
        <f>(AH21*'ADC''s, Trout'!S20)/100</f>
        <v>2.3169514888846989</v>
      </c>
      <c r="AJ21" s="51">
        <v>2.114210985178727</v>
      </c>
      <c r="AK21" s="51">
        <f>(AJ21*'ADC''s, Trout'!T20)/100</f>
        <v>2.0198900090739822</v>
      </c>
      <c r="AL21" s="147">
        <v>2.114210985178727</v>
      </c>
      <c r="AM21" s="148">
        <f>(AL21*'ADC''s, Trout'!U20)/100</f>
        <v>2.0049672886314145</v>
      </c>
      <c r="AN21" s="147">
        <v>2.5283347863993022</v>
      </c>
      <c r="AO21" s="39">
        <f>(AN21*'ADC''s, Trout'!V20)/100</f>
        <v>2.5110982127091761</v>
      </c>
      <c r="AP21" s="147">
        <v>48.517872711421091</v>
      </c>
      <c r="AQ21" s="187">
        <f>(AP21*'ADC''s, Trout'!W20)/100</f>
        <v>46.92745774533725</v>
      </c>
      <c r="AR21" s="253">
        <v>0.53400174367916298</v>
      </c>
      <c r="AS21" s="175" t="s">
        <v>174</v>
      </c>
      <c r="AT21" s="38">
        <v>17.399999999999999</v>
      </c>
      <c r="AU21" s="38">
        <v>102.4411508282476</v>
      </c>
      <c r="AV21" s="20">
        <v>0.31604184829991278</v>
      </c>
      <c r="AW21" s="20">
        <v>42.502179598953781</v>
      </c>
      <c r="AX21" s="38">
        <f>0.0003487358326068*10000</f>
        <v>3.4873583260680001</v>
      </c>
      <c r="AY21" s="38">
        <f>0.00106800348735833*10000</f>
        <v>10.680034873583301</v>
      </c>
      <c r="AZ21" s="163">
        <v>0.79555361813426329</v>
      </c>
      <c r="BA21" s="61" t="s">
        <v>212</v>
      </c>
      <c r="BB21" s="20">
        <v>2.5065387968613773</v>
      </c>
      <c r="BC21" s="20" t="s">
        <v>174</v>
      </c>
      <c r="BD21" s="20">
        <v>0.44681778552746293</v>
      </c>
      <c r="BE21" s="304">
        <v>58.849171752397559</v>
      </c>
      <c r="BF21" s="52"/>
    </row>
    <row r="22" spans="1:58">
      <c r="A22" s="269" t="s">
        <v>50</v>
      </c>
      <c r="B22" s="51">
        <v>88.584999999999994</v>
      </c>
      <c r="C22" s="195" t="s">
        <v>212</v>
      </c>
      <c r="D22" s="197" t="s">
        <v>212</v>
      </c>
      <c r="E22" s="195" t="s">
        <v>212</v>
      </c>
      <c r="F22" s="147">
        <v>46.79347519331715</v>
      </c>
      <c r="G22" s="148">
        <f>(F22*'ADC''s, Trout'!E21)/100</f>
        <v>35.095106394987859</v>
      </c>
      <c r="H22" s="55">
        <v>4976.2036462154992</v>
      </c>
      <c r="I22" s="207">
        <f>(H22*'ADC''s, Trout'!F21)/100</f>
        <v>2438.3397866455944</v>
      </c>
      <c r="J22" s="51">
        <v>1.7384433030422757</v>
      </c>
      <c r="K22" s="51">
        <f>(J22*'ADC''s, Trout'!G21)/100</f>
        <v>1.5323056009972056</v>
      </c>
      <c r="L22" s="147">
        <v>6.9424846192922054</v>
      </c>
      <c r="M22" s="148">
        <f>(L22*'ADC''s, Trout'!H21)/100</f>
        <v>6.5466863377226279</v>
      </c>
      <c r="N22" s="51">
        <v>6.9424846192922054</v>
      </c>
      <c r="O22" s="51">
        <f>(N22*'ADC''s, Trout'!I21)/100</f>
        <v>6.7368729065546402</v>
      </c>
      <c r="P22" s="147">
        <v>7.8794378280747308</v>
      </c>
      <c r="Q22" s="148">
        <f>(P22*'ADC''s, Trout'!J21)/100</f>
        <v>7.5074916727716348</v>
      </c>
      <c r="R22" s="147">
        <v>1.8174634531805611</v>
      </c>
      <c r="S22" s="148">
        <f>(R22*'ADC''s, Trout'!K21)/100</f>
        <v>1.7193398648898468</v>
      </c>
      <c r="T22" s="51">
        <v>1.2643224022125643</v>
      </c>
      <c r="U22" s="51">
        <f>(T22*'ADC''s, Trout'!L21)/100</f>
        <v>1.1825201886400101</v>
      </c>
      <c r="V22" s="147">
        <v>1.5691144098888072</v>
      </c>
      <c r="W22" s="148">
        <f>(V22*'ADC''s, Trout'!M21)/100</f>
        <v>1.310981881625809</v>
      </c>
      <c r="X22" s="51">
        <v>2.8108596263475758</v>
      </c>
      <c r="Y22" s="51">
        <f>(X22*'ADC''s, Trout'!N21)/100</f>
        <v>2.4973433481269338</v>
      </c>
      <c r="Z22" s="147">
        <v>1.8739064175650504</v>
      </c>
      <c r="AA22" s="148">
        <f>(Z22*'ADC''s, Trout'!O21)/100</f>
        <v>1.5841638463989276</v>
      </c>
      <c r="AB22" s="51">
        <v>0.58700682959869055</v>
      </c>
      <c r="AC22" s="51">
        <f>(AB22*'ADC''s, Trout'!P21)/100</f>
        <v>0.48282465531334107</v>
      </c>
      <c r="AD22" s="147">
        <v>2.6528193260710053</v>
      </c>
      <c r="AE22" s="148">
        <f>(AD22*'ADC''s, Trout'!Q21)/100</f>
        <v>2.3788984128504311</v>
      </c>
      <c r="AF22" s="51">
        <v>1.6707117457808884</v>
      </c>
      <c r="AG22" s="197" t="s">
        <v>212</v>
      </c>
      <c r="AH22" s="147">
        <v>1.8739064175650504</v>
      </c>
      <c r="AI22" s="148">
        <f>(AH22*'ADC''s, Trout'!S21)/100</f>
        <v>1.7189770073504533</v>
      </c>
      <c r="AJ22" s="51">
        <v>1.580403002765705</v>
      </c>
      <c r="AK22" s="51">
        <f>(AJ22*'ADC''s, Trout'!T21)/100</f>
        <v>1.4179072599903171</v>
      </c>
      <c r="AL22" s="147">
        <v>1.591691595642603</v>
      </c>
      <c r="AM22" s="148">
        <f>(AL22*'ADC''s, Trout'!U21)/100</f>
        <v>1.4277697367093654</v>
      </c>
      <c r="AN22" s="147">
        <v>2.1674098323643958</v>
      </c>
      <c r="AO22" s="39">
        <f>(AN22*'ADC''s, Trout'!V21)/100</f>
        <v>1.8811116127659928</v>
      </c>
      <c r="AP22" s="147">
        <v>44.962465428684325</v>
      </c>
      <c r="AQ22" s="187">
        <f>(AP22*'ADC''s, Trout'!W21)/100</f>
        <v>40.45700170003434</v>
      </c>
      <c r="AR22" s="253">
        <v>0.2596376361686516</v>
      </c>
      <c r="AS22" s="20">
        <v>0.44025512219901786</v>
      </c>
      <c r="AT22" s="38">
        <v>13.5</v>
      </c>
      <c r="AU22" s="38">
        <v>158.04030027657055</v>
      </c>
      <c r="AV22" s="20">
        <v>0.69989275836766951</v>
      </c>
      <c r="AW22" s="20">
        <v>28.221482192244736</v>
      </c>
      <c r="AX22" s="30" t="s">
        <v>174</v>
      </c>
      <c r="AY22" s="38">
        <f>0.000756335722752159*10000</f>
        <v>7.5633572275215899</v>
      </c>
      <c r="AZ22" s="163">
        <v>1.5804030027657054</v>
      </c>
      <c r="BA22" s="61" t="s">
        <v>212</v>
      </c>
      <c r="BB22" s="20">
        <v>1.8061748603036634</v>
      </c>
      <c r="BC22" s="20">
        <v>0.13546311452277474</v>
      </c>
      <c r="BD22" s="20">
        <v>0.50798667946040532</v>
      </c>
      <c r="BE22" s="304">
        <v>73.375853699836327</v>
      </c>
      <c r="BF22" s="52"/>
    </row>
    <row r="23" spans="1:58">
      <c r="A23" s="269" t="s">
        <v>43</v>
      </c>
      <c r="B23" s="51">
        <v>91.685000000000002</v>
      </c>
      <c r="C23" s="195" t="s">
        <v>212</v>
      </c>
      <c r="D23" s="197" t="s">
        <v>212</v>
      </c>
      <c r="E23" s="195" t="s">
        <v>212</v>
      </c>
      <c r="F23" s="147">
        <v>49.068004580901999</v>
      </c>
      <c r="G23" s="148">
        <f>(F23*'ADC''s, Trout'!E22)/100</f>
        <v>36.801003435676499</v>
      </c>
      <c r="H23" s="55">
        <v>5010.7105851556953</v>
      </c>
      <c r="I23" s="207">
        <f>(H23*'ADC''s, Trout'!F22)/100</f>
        <v>2755.8908218356328</v>
      </c>
      <c r="J23" s="51">
        <v>1.9196160767846431</v>
      </c>
      <c r="K23" s="51">
        <f>(J23*'ADC''s, Trout'!G22)/100</f>
        <v>1.7487835260349676</v>
      </c>
      <c r="L23" s="147">
        <v>3.3920488629546814</v>
      </c>
      <c r="M23" s="148">
        <f>(L23*'ADC''s, Trout'!H22)/100</f>
        <v>3.1300612995871826</v>
      </c>
      <c r="N23" s="51">
        <v>2.9994001199760048</v>
      </c>
      <c r="O23" s="51">
        <f>(N23*'ADC''s, Trout'!I22)/100</f>
        <v>2.875270320255098</v>
      </c>
      <c r="P23" s="147">
        <v>7.8856955881550963</v>
      </c>
      <c r="Q23" s="148">
        <f>(P23*'ADC''s, Trout'!J22)/100</f>
        <v>7.5302803113942476</v>
      </c>
      <c r="R23" s="147">
        <v>2.1377542673283525</v>
      </c>
      <c r="S23" s="148">
        <f>(R23*'ADC''s, Trout'!K22)/100</f>
        <v>1.9980998632228646</v>
      </c>
      <c r="T23" s="51">
        <v>1.1561324098816601</v>
      </c>
      <c r="U23" s="51">
        <f>(T23*'ADC''s, Trout'!L22)/100</f>
        <v>1.1129960065919366</v>
      </c>
      <c r="V23" s="147">
        <v>1.8541746196215301</v>
      </c>
      <c r="W23" s="148">
        <f>(V23*'ADC''s, Trout'!M22)/100</f>
        <v>1.5820093297110185</v>
      </c>
      <c r="X23" s="51">
        <v>3.1957244914653433</v>
      </c>
      <c r="Y23" s="51">
        <f>(X23*'ADC''s, Trout'!N22)/100</f>
        <v>2.9441150644432086</v>
      </c>
      <c r="Z23" s="147">
        <v>2.3340786388176911</v>
      </c>
      <c r="AA23" s="148">
        <f>(Z23*'ADC''s, Trout'!O22)/100</f>
        <v>2.0555630434027843</v>
      </c>
      <c r="AB23" s="51">
        <v>0.78529748595735394</v>
      </c>
      <c r="AC23" s="51">
        <f>(AB23*'ADC''s, Trout'!P22)/100</f>
        <v>0.68681086562285432</v>
      </c>
      <c r="AD23" s="147">
        <v>1.8868953482030866</v>
      </c>
      <c r="AE23" s="148">
        <f>(AD23*'ADC''s, Trout'!Q22)/100</f>
        <v>1.7054385004394665</v>
      </c>
      <c r="AF23" s="51">
        <v>2.9557724818672626</v>
      </c>
      <c r="AG23" s="197" t="s">
        <v>212</v>
      </c>
      <c r="AH23" s="147">
        <v>1.9523368053661994</v>
      </c>
      <c r="AI23" s="148">
        <f>(AH23*'ADC''s, Trout'!S22)/100</f>
        <v>1.8225094988833255</v>
      </c>
      <c r="AJ23" s="51">
        <v>2.0177782625293124</v>
      </c>
      <c r="AK23" s="51">
        <f>(AJ23*'ADC''s, Trout'!T22)/100</f>
        <v>1.8097360212859039</v>
      </c>
      <c r="AL23" s="147">
        <v>1.4615258766428532</v>
      </c>
      <c r="AM23" s="148">
        <f>(AL23*'ADC''s, Trout'!U22)/100</f>
        <v>1.3080756086038718</v>
      </c>
      <c r="AN23" s="147">
        <v>2.3667993673992473</v>
      </c>
      <c r="AO23" s="39">
        <f>(AN23*'ADC''s, Trout'!V22)/100</f>
        <v>2.0620190966064875</v>
      </c>
      <c r="AP23" s="147">
        <v>40.301030702950321</v>
      </c>
      <c r="AQ23" s="187">
        <f>(AP23*'ADC''s, Trout'!W22)/100</f>
        <v>36.740792998468933</v>
      </c>
      <c r="AR23" s="253">
        <v>0.56715929541364452</v>
      </c>
      <c r="AS23" s="20">
        <v>0.22904510007089487</v>
      </c>
      <c r="AT23" s="38">
        <v>6.3</v>
      </c>
      <c r="AU23" s="38">
        <v>261.76582865245132</v>
      </c>
      <c r="AV23" s="20">
        <v>0.59988002399520102</v>
      </c>
      <c r="AW23" s="20">
        <v>67.622839068549922</v>
      </c>
      <c r="AX23" s="127" t="s">
        <v>174</v>
      </c>
      <c r="AY23" s="38">
        <f>0.000327207285815564*10000</f>
        <v>3.27207285815564</v>
      </c>
      <c r="AZ23" s="163">
        <v>1.4178982385341112</v>
      </c>
      <c r="BA23" s="61" t="s">
        <v>212</v>
      </c>
      <c r="BB23" s="20">
        <v>1.6360364290778207</v>
      </c>
      <c r="BC23" s="20">
        <v>1.0252494955554345E-2</v>
      </c>
      <c r="BD23" s="20">
        <v>1.0906909527185471</v>
      </c>
      <c r="BE23" s="304">
        <v>71.985602879424121</v>
      </c>
      <c r="BF23" s="52"/>
    </row>
    <row r="24" spans="1:58">
      <c r="A24" s="269" t="s">
        <v>51</v>
      </c>
      <c r="B24" s="51">
        <v>93.87</v>
      </c>
      <c r="C24" s="195" t="s">
        <v>212</v>
      </c>
      <c r="D24" s="197" t="s">
        <v>212</v>
      </c>
      <c r="E24" s="195" t="s">
        <v>212</v>
      </c>
      <c r="F24" s="147">
        <v>27.535953978906996</v>
      </c>
      <c r="G24" s="148">
        <f>(F24*'ADC''s, Trout'!E23)/100</f>
        <v>19.275167785234895</v>
      </c>
      <c r="H24" s="55">
        <v>4455.0974752317034</v>
      </c>
      <c r="I24" s="207">
        <f>(H24*'ADC''s, Trout'!F23)/100</f>
        <v>1514.7331415787789</v>
      </c>
      <c r="J24" s="51">
        <v>1.0525194417811867</v>
      </c>
      <c r="K24" s="51">
        <f>(J24*'ADC''s, Trout'!G23)/100</f>
        <v>0.8944205429573765</v>
      </c>
      <c r="L24" s="147">
        <v>3.1895174177053369</v>
      </c>
      <c r="M24" s="148">
        <f>(L24*'ADC''s, Trout'!H23)/100</f>
        <v>2.9735902322216674</v>
      </c>
      <c r="N24" s="51">
        <v>2.2010226909555768</v>
      </c>
      <c r="O24" s="51">
        <f>(N24*'ADC''s, Trout'!I23)/100</f>
        <v>2.1133450183192384</v>
      </c>
      <c r="P24" s="147">
        <v>3.9011398742942363</v>
      </c>
      <c r="Q24" s="148">
        <f>(P24*'ADC''s, Trout'!J23)/100</f>
        <v>3.6111115306332215</v>
      </c>
      <c r="R24" s="147">
        <v>1.3976776392883774</v>
      </c>
      <c r="S24" s="148">
        <f>(R24*'ADC''s, Trout'!K23)/100</f>
        <v>1.3976776392883776</v>
      </c>
      <c r="T24" s="51">
        <v>0.52732502396931924</v>
      </c>
      <c r="U24" s="51">
        <f>(T24*'ADC''s, Trout'!L23)/100</f>
        <v>0.44901490274992006</v>
      </c>
      <c r="V24" s="147">
        <v>1.1558538404175986</v>
      </c>
      <c r="W24" s="148">
        <f>(V24*'ADC''s, Trout'!M23)/100</f>
        <v>0.92009371927431061</v>
      </c>
      <c r="X24" s="51">
        <v>1.5480984340044741</v>
      </c>
      <c r="Y24" s="51">
        <f>(X24*'ADC''s, Trout'!N23)/100</f>
        <v>1.4280646881892765</v>
      </c>
      <c r="Z24" s="147">
        <v>0.91403004154681999</v>
      </c>
      <c r="AA24" s="148">
        <f>(Z24*'ADC''s, Trout'!O23)/100</f>
        <v>0.7447248471782324</v>
      </c>
      <c r="AB24" s="51">
        <v>0.38990092681367844</v>
      </c>
      <c r="AC24" s="51">
        <f>(AB24*'ADC''s, Trout'!P23)/100</f>
        <v>0.29886625620080876</v>
      </c>
      <c r="AD24" s="147">
        <v>1.255992329817833</v>
      </c>
      <c r="AE24" s="148">
        <f>(AD24*'ADC''s, Trout'!Q23)/100</f>
        <v>1.0917618266030551</v>
      </c>
      <c r="AF24" s="51">
        <v>0.87994034302759117</v>
      </c>
      <c r="AG24" s="197" t="s">
        <v>212</v>
      </c>
      <c r="AH24" s="147">
        <v>1.1377436880792584</v>
      </c>
      <c r="AI24" s="148">
        <f>(AH24*'ADC''s, Trout'!S23)/100</f>
        <v>1.0076269803197215</v>
      </c>
      <c r="AJ24" s="51">
        <v>0.99925428784489168</v>
      </c>
      <c r="AK24" s="51">
        <f>(AJ24*'ADC''s, Trout'!T23)/100</f>
        <v>0.83849904217062221</v>
      </c>
      <c r="AL24" s="147">
        <v>0.76808351976137201</v>
      </c>
      <c r="AM24" s="148">
        <f>(AL24*'ADC''s, Trout'!U23)/100</f>
        <v>0.70814238903796689</v>
      </c>
      <c r="AN24" s="147">
        <v>1.3358900607222755</v>
      </c>
      <c r="AO24" s="39">
        <f>(AN24*'ADC''s, Trout'!V23)/100</f>
        <v>1.124600626795496</v>
      </c>
      <c r="AP24" s="147">
        <v>22.653989560029824</v>
      </c>
      <c r="AQ24" s="187">
        <f>(AP24*'ADC''s, Trout'!W23)/100</f>
        <v>19.90075832052484</v>
      </c>
      <c r="AR24" s="253">
        <v>0.21306061574517948</v>
      </c>
      <c r="AS24" s="20">
        <v>0.1597954618088846</v>
      </c>
      <c r="AT24" s="38">
        <v>12.8</v>
      </c>
      <c r="AU24" s="38">
        <v>59.656972408650248</v>
      </c>
      <c r="AV24" s="20">
        <v>0.39416213912858206</v>
      </c>
      <c r="AW24" s="20">
        <v>34.089698519228719</v>
      </c>
      <c r="AX24" s="30" t="s">
        <v>174</v>
      </c>
      <c r="AY24" s="30" t="s">
        <v>174</v>
      </c>
      <c r="AZ24" s="163">
        <v>0.59656972408650266</v>
      </c>
      <c r="BA24" s="61" t="s">
        <v>212</v>
      </c>
      <c r="BB24" s="20">
        <v>0.73505912432086928</v>
      </c>
      <c r="BC24" s="20">
        <v>5.0069244700117185E-2</v>
      </c>
      <c r="BD24" s="20">
        <v>0.27697880046873335</v>
      </c>
      <c r="BE24" s="304">
        <v>45.808032385213593</v>
      </c>
      <c r="BF24" s="52"/>
    </row>
    <row r="25" spans="1:58">
      <c r="A25" s="269" t="s">
        <v>44</v>
      </c>
      <c r="B25" s="51">
        <v>92.435000000000002</v>
      </c>
      <c r="C25" s="195" t="s">
        <v>212</v>
      </c>
      <c r="D25" s="197" t="s">
        <v>212</v>
      </c>
      <c r="E25" s="195" t="s">
        <v>212</v>
      </c>
      <c r="F25" s="147">
        <v>17.387353275274517</v>
      </c>
      <c r="G25" s="148">
        <f>(F25*'ADC''s, Trout'!E24)/100</f>
        <v>11.127906096175691</v>
      </c>
      <c r="H25" s="55">
        <v>5409.3254719532642</v>
      </c>
      <c r="I25" s="207">
        <f>(H25*'ADC''s, Trout'!F24)/100</f>
        <v>3245.5952831719583</v>
      </c>
      <c r="J25" s="51">
        <v>0.90009195650997997</v>
      </c>
      <c r="K25" s="51">
        <f>(J25*'ADC''s, Trout'!G24)/100</f>
        <v>0.66110063141635578</v>
      </c>
      <c r="L25" s="147">
        <v>1.6433169254070428</v>
      </c>
      <c r="M25" s="148">
        <f>(L25*'ADC''s, Trout'!H24)/100</f>
        <v>1.4070491656363007</v>
      </c>
      <c r="N25" s="51">
        <v>1.2441174879645156</v>
      </c>
      <c r="O25" s="51">
        <f>(N25*'ADC''s, Trout'!I24)/100</f>
        <v>0.85244188526465325</v>
      </c>
      <c r="P25" s="147">
        <v>1.8001839130199599</v>
      </c>
      <c r="Q25" s="148">
        <f>(P25*'ADC''s, Trout'!J24)/100</f>
        <v>1.3813752494096934</v>
      </c>
      <c r="R25" s="147">
        <v>0.79731703359117212</v>
      </c>
      <c r="S25" s="148">
        <f>(R25*'ADC''s, Trout'!K24)/100</f>
        <v>0.54604097276724339</v>
      </c>
      <c r="T25" s="51">
        <v>0.41326337426299564</v>
      </c>
      <c r="U25" s="51">
        <f>(T25*'ADC''s, Trout'!L24)/100</f>
        <v>0.24987259056517452</v>
      </c>
      <c r="V25" s="147">
        <v>0.59176718775355663</v>
      </c>
      <c r="W25" s="148">
        <f>(V25*'ADC''s, Trout'!M24)/100</f>
        <v>0.3401311659838776</v>
      </c>
      <c r="X25" s="51">
        <v>1.1435062476334721</v>
      </c>
      <c r="Y25" s="51">
        <f>(X25*'ADC''s, Trout'!N24)/100</f>
        <v>0.88875143885194718</v>
      </c>
      <c r="Z25" s="147">
        <v>0.68264185643966035</v>
      </c>
      <c r="AA25" s="148">
        <f>(Z25*'ADC''s, Trout'!O24)/100</f>
        <v>0.46792507776377357</v>
      </c>
      <c r="AB25" s="51">
        <v>0.2412506085357278</v>
      </c>
      <c r="AC25" s="51">
        <f>(AB25*'ADC''s, Trout'!P24)/100</f>
        <v>0.14665603542692526</v>
      </c>
      <c r="AD25" s="147">
        <v>0.73997944501541624</v>
      </c>
      <c r="AE25" s="148">
        <f>(AD25*'ADC''s, Trout'!Q24)/100</f>
        <v>0.53060850204720689</v>
      </c>
      <c r="AF25" s="51">
        <v>0.63179531562719748</v>
      </c>
      <c r="AG25" s="197" t="s">
        <v>212</v>
      </c>
      <c r="AH25" s="147">
        <v>0.72699734948882999</v>
      </c>
      <c r="AI25" s="148">
        <f>(AH25*'ADC''s, Trout'!S24)/100</f>
        <v>0.63397002700988569</v>
      </c>
      <c r="AJ25" s="51">
        <v>0.6220587439822578</v>
      </c>
      <c r="AK25" s="51">
        <f>(AJ25*'ADC''s, Trout'!T24)/100</f>
        <v>0.46312779497328294</v>
      </c>
      <c r="AL25" s="147">
        <v>0.63395899821496182</v>
      </c>
      <c r="AM25" s="148">
        <f>(AL25*'ADC''s, Trout'!U24)/100</f>
        <v>0.47026206722500341</v>
      </c>
      <c r="AN25" s="147">
        <v>0.90982852815491966</v>
      </c>
      <c r="AO25" s="39">
        <f>(AN25*'ADC''s, Trout'!V24)/100</f>
        <v>0.64854294585619598</v>
      </c>
      <c r="AP25" s="147">
        <v>13.722074971601666</v>
      </c>
      <c r="AQ25" s="187">
        <f>(AP25*'ADC''s, Trout'!W24)/100</f>
        <v>9.8490441759178218</v>
      </c>
      <c r="AR25" s="253">
        <v>3.6782603991994374</v>
      </c>
      <c r="AS25" s="20">
        <v>0.17309460702114995</v>
      </c>
      <c r="AT25" s="38">
        <v>13</v>
      </c>
      <c r="AU25" s="38">
        <v>248.8234975929031</v>
      </c>
      <c r="AV25" s="20">
        <v>0.91956509979985934</v>
      </c>
      <c r="AW25" s="20">
        <v>432.73651755287494</v>
      </c>
      <c r="AX25" s="30" t="s">
        <v>174</v>
      </c>
      <c r="AY25" s="30" t="s">
        <v>174</v>
      </c>
      <c r="AZ25" s="163">
        <v>2.0554984583761562</v>
      </c>
      <c r="BA25" s="61" t="s">
        <v>212</v>
      </c>
      <c r="BB25" s="20">
        <v>0.98447557743279057</v>
      </c>
      <c r="BC25" s="20">
        <v>8.8710986098339377E-3</v>
      </c>
      <c r="BD25" s="20">
        <v>0.19473143289879374</v>
      </c>
      <c r="BE25" s="304">
        <v>140.63936820468436</v>
      </c>
      <c r="BF25" s="52"/>
    </row>
    <row r="26" spans="1:58">
      <c r="A26" s="269" t="s">
        <v>52</v>
      </c>
      <c r="B26" s="51">
        <v>88.87</v>
      </c>
      <c r="C26" s="195" t="s">
        <v>212</v>
      </c>
      <c r="D26" s="197" t="s">
        <v>212</v>
      </c>
      <c r="E26" s="195" t="s">
        <v>212</v>
      </c>
      <c r="F26" s="147">
        <v>20.743783053898952</v>
      </c>
      <c r="G26" s="148">
        <f>(F26*'ADC''s, Trout'!E25)/100</f>
        <v>14.105772476651287</v>
      </c>
      <c r="H26" s="55">
        <v>4684.9330482727573</v>
      </c>
      <c r="I26" s="207">
        <f>(H26*'ADC''s, Trout'!F25)/100</f>
        <v>1686.5758973781928</v>
      </c>
      <c r="J26" s="51">
        <v>0.78316642286485871</v>
      </c>
      <c r="K26" s="51">
        <f>(J26*'ADC''s, Trout'!G25)/100</f>
        <v>0.71628271687234801</v>
      </c>
      <c r="L26" s="147">
        <v>1.412175087206031</v>
      </c>
      <c r="M26" s="148">
        <f>(L26*'ADC''s, Trout'!H25)/100</f>
        <v>1.3345051168869333</v>
      </c>
      <c r="N26" s="51">
        <v>1.2512658940024757</v>
      </c>
      <c r="O26" s="51">
        <f>(N26*'ADC''s, Trout'!I25)/100</f>
        <v>1.2512658940024757</v>
      </c>
      <c r="P26" s="147">
        <v>3.0741532575672332</v>
      </c>
      <c r="Q26" s="148">
        <f>(P26*'ADC''s, Trout'!J25)/100</f>
        <v>2.9218252398019975</v>
      </c>
      <c r="R26" s="147">
        <v>0.87431079104309661</v>
      </c>
      <c r="S26" s="148">
        <f>(R26*'ADC''s, Trout'!K25)/100</f>
        <v>0.87431079104309661</v>
      </c>
      <c r="T26" s="51">
        <v>0.45572184089118939</v>
      </c>
      <c r="U26" s="51">
        <f>(T26*'ADC''s, Trout'!L25)/100</f>
        <v>0.38168600337679548</v>
      </c>
      <c r="V26" s="147">
        <v>0.60200292562169466</v>
      </c>
      <c r="W26" s="148">
        <f>(V26*'ADC''s, Trout'!M25)/100</f>
        <v>0.47732353643981795</v>
      </c>
      <c r="X26" s="51">
        <v>1.1252391133115787</v>
      </c>
      <c r="Y26" s="51">
        <f>(X26*'ADC''s, Trout'!N25)/100</f>
        <v>1.0771549591775886</v>
      </c>
      <c r="Z26" s="147">
        <v>0.65939012040058509</v>
      </c>
      <c r="AA26" s="148">
        <f>(Z26*'ADC''s, Trout'!O25)/100</f>
        <v>0.56274135839448858</v>
      </c>
      <c r="AB26" s="51">
        <v>0.19804208394283784</v>
      </c>
      <c r="AC26" s="51">
        <f>(AB26*'ADC''s, Trout'!P25)/100</f>
        <v>0.11695683925766592</v>
      </c>
      <c r="AD26" s="147">
        <v>0.76291211882525034</v>
      </c>
      <c r="AE26" s="148">
        <f>(AD26*'ADC''s, Trout'!Q25)/100</f>
        <v>0.66366848121751432</v>
      </c>
      <c r="AF26" s="51">
        <v>1.1094857657252166</v>
      </c>
      <c r="AG26" s="197" t="s">
        <v>212</v>
      </c>
      <c r="AH26" s="147">
        <v>0.67964442444019346</v>
      </c>
      <c r="AI26" s="148">
        <f>(AH26*'ADC''s, Trout'!S25)/100</f>
        <v>0.60260105405566333</v>
      </c>
      <c r="AJ26" s="51">
        <v>0.59412625182851353</v>
      </c>
      <c r="AK26" s="51">
        <f>(AJ26*'ADC''s, Trout'!T25)/100</f>
        <v>0.51181580006562433</v>
      </c>
      <c r="AL26" s="147">
        <v>0.57049623044897035</v>
      </c>
      <c r="AM26" s="148">
        <f>(AL26*'ADC''s, Trout'!U25)/100</f>
        <v>0.50478306554665497</v>
      </c>
      <c r="AN26" s="147">
        <v>0.85855744345673457</v>
      </c>
      <c r="AO26" s="39">
        <f>(AN26*'ADC''s, Trout'!V25)/100</f>
        <v>0.74809808007177681</v>
      </c>
      <c r="AP26" s="147">
        <v>15.010689771576457</v>
      </c>
      <c r="AQ26" s="187">
        <f>(AP26*'ADC''s, Trout'!W25)/100</f>
        <v>13.22533259505361</v>
      </c>
      <c r="AR26" s="253">
        <v>0.10689771576459997</v>
      </c>
      <c r="AS26" s="30" t="s">
        <v>174</v>
      </c>
      <c r="AT26" s="38">
        <v>12.4</v>
      </c>
      <c r="AU26" s="38">
        <v>72.015303251941035</v>
      </c>
      <c r="AV26" s="20">
        <v>0.48385281872397884</v>
      </c>
      <c r="AW26" s="20">
        <v>168.78586699673681</v>
      </c>
      <c r="AX26" s="30" t="s">
        <v>174</v>
      </c>
      <c r="AY26" s="30" t="s">
        <v>174</v>
      </c>
      <c r="AZ26" s="163">
        <v>1.3502869359738945</v>
      </c>
      <c r="BA26" s="61" t="s">
        <v>212</v>
      </c>
      <c r="BB26" s="20">
        <v>1.3502869359738945</v>
      </c>
      <c r="BC26" s="20">
        <v>1.1252391133115786E-2</v>
      </c>
      <c r="BD26" s="20">
        <v>0.22504782266231574</v>
      </c>
      <c r="BE26" s="304">
        <v>92.269607291549463</v>
      </c>
      <c r="BF26" s="52"/>
    </row>
    <row r="27" spans="1:58">
      <c r="A27" s="269" t="s">
        <v>53</v>
      </c>
      <c r="B27" s="51">
        <v>88.754999999999995</v>
      </c>
      <c r="C27" s="195" t="s">
        <v>212</v>
      </c>
      <c r="D27" s="197" t="s">
        <v>212</v>
      </c>
      <c r="E27" s="195" t="s">
        <v>212</v>
      </c>
      <c r="F27" s="147">
        <v>21.18979212438736</v>
      </c>
      <c r="G27" s="148">
        <f>(F27*'ADC''s, Trout'!E26)/100</f>
        <v>14.620956565827278</v>
      </c>
      <c r="H27" s="55">
        <v>4838.2739000619686</v>
      </c>
      <c r="I27" s="207">
        <f>(H27*'ADC''s, Trout'!F26)/100</f>
        <v>1790.1613430229283</v>
      </c>
      <c r="J27" s="51">
        <v>0.81009520590389272</v>
      </c>
      <c r="K27" s="51">
        <f>(J27*'ADC''s, Trout'!G26)/100</f>
        <v>0.75915054151948869</v>
      </c>
      <c r="L27" s="147">
        <v>1.4489324545096052</v>
      </c>
      <c r="M27" s="148">
        <f>(L27*'ADC''s, Trout'!H26)/100</f>
        <v>1.394767891663661</v>
      </c>
      <c r="N27" s="51">
        <v>1.2675342234240325</v>
      </c>
      <c r="O27" s="51">
        <f>(N27*'ADC''s, Trout'!I26)/100</f>
        <v>1.2675342234240325</v>
      </c>
      <c r="P27" s="147">
        <v>3.0454622274801419</v>
      </c>
      <c r="Q27" s="148">
        <f>(P27*'ADC''s, Trout'!J26)/100</f>
        <v>2.8588539048848549</v>
      </c>
      <c r="R27" s="147">
        <v>0.88333051659061468</v>
      </c>
      <c r="S27" s="148">
        <f>(R27*'ADC''s, Trout'!K26)/100</f>
        <v>0.88333051659061468</v>
      </c>
      <c r="T27" s="51">
        <v>0.46081910878260379</v>
      </c>
      <c r="U27" s="51">
        <f>(T27*'ADC''s, Trout'!L26)/100</f>
        <v>0.42898819702890484</v>
      </c>
      <c r="V27" s="147">
        <v>0.58926257675623916</v>
      </c>
      <c r="W27" s="148">
        <f>(V27*'ADC''s, Trout'!M26)/100</f>
        <v>0.52261198961313005</v>
      </c>
      <c r="X27" s="51">
        <v>1.1052898428257563</v>
      </c>
      <c r="Y27" s="51">
        <f>(X27*'ADC''s, Trout'!N26)/100</f>
        <v>1.0904101849196579</v>
      </c>
      <c r="Z27" s="147">
        <v>0.68052504084276944</v>
      </c>
      <c r="AA27" s="148">
        <f>(Z27*'ADC''s, Trout'!O26)/100</f>
        <v>0.55417293110289978</v>
      </c>
      <c r="AB27" s="51">
        <v>0.1644977747732522</v>
      </c>
      <c r="AC27" s="51">
        <f>(AB27*'ADC''s, Trout'!P26)/100</f>
        <v>0.1121083978578932</v>
      </c>
      <c r="AD27" s="147">
        <v>0.71770604472987443</v>
      </c>
      <c r="AE27" s="148">
        <f>(AD27*'ADC''s, Trout'!Q26)/100</f>
        <v>0.65061803434953969</v>
      </c>
      <c r="AF27" s="51">
        <v>1.0726156272886034</v>
      </c>
      <c r="AG27" s="197" t="s">
        <v>212</v>
      </c>
      <c r="AH27" s="147">
        <v>0.66249788744296101</v>
      </c>
      <c r="AI27" s="148">
        <f>(AH27*'ADC''s, Trout'!S26)/100</f>
        <v>0.60859269407573757</v>
      </c>
      <c r="AJ27" s="51">
        <v>0.58475578840628706</v>
      </c>
      <c r="AK27" s="51">
        <f>(AJ27*'ADC''s, Trout'!T26)/100</f>
        <v>0.53935458051754415</v>
      </c>
      <c r="AL27" s="147">
        <v>0.53518111655681366</v>
      </c>
      <c r="AM27" s="148">
        <f>(AL27*'ADC''s, Trout'!U26)/100</f>
        <v>0.51362702840060448</v>
      </c>
      <c r="AN27" s="147">
        <v>0.85741648357838995</v>
      </c>
      <c r="AO27" s="39">
        <f>(AN27*'ADC''s, Trout'!V26)/100</f>
        <v>0.81014519629021275</v>
      </c>
      <c r="AP27" s="147">
        <v>14.885921919891839</v>
      </c>
      <c r="AQ27" s="187">
        <f>(AP27*'ADC''s, Trout'!W26)/100</f>
        <v>13.685889696764198</v>
      </c>
      <c r="AR27" s="253">
        <v>0.11266970874880289</v>
      </c>
      <c r="AS27" s="30" t="s">
        <v>174</v>
      </c>
      <c r="AT27" s="38">
        <v>12.4</v>
      </c>
      <c r="AU27" s="38">
        <v>65.34843107430568</v>
      </c>
      <c r="AV27" s="20">
        <v>0.40561095149569043</v>
      </c>
      <c r="AW27" s="20">
        <v>135.20365049856346</v>
      </c>
      <c r="AX27" s="30" t="s">
        <v>174</v>
      </c>
      <c r="AY27" s="30" t="s">
        <v>174</v>
      </c>
      <c r="AZ27" s="163">
        <v>1.0365613204889865</v>
      </c>
      <c r="BA27" s="61" t="s">
        <v>212</v>
      </c>
      <c r="BB27" s="20">
        <v>1.239366796236832</v>
      </c>
      <c r="BC27" s="20">
        <v>9.238916117401838E-3</v>
      </c>
      <c r="BD27" s="20">
        <v>0.22533941749760578</v>
      </c>
      <c r="BE27" s="304">
        <v>78.868796124162017</v>
      </c>
      <c r="BF27" s="52"/>
    </row>
    <row r="28" spans="1:58">
      <c r="A28" s="273" t="s">
        <v>182</v>
      </c>
      <c r="B28" s="51">
        <v>91.525000000000006</v>
      </c>
      <c r="C28" s="195" t="s">
        <v>212</v>
      </c>
      <c r="D28" s="197" t="s">
        <v>212</v>
      </c>
      <c r="E28" s="195" t="s">
        <v>212</v>
      </c>
      <c r="F28" s="147">
        <v>21.513247746517347</v>
      </c>
      <c r="G28" s="148">
        <f>(F28*'ADC''s, Trout'!E27)/100</f>
        <v>12.262551215514888</v>
      </c>
      <c r="H28" s="55">
        <v>4685.605025949194</v>
      </c>
      <c r="I28" s="207">
        <f>(H28*'ADC''s, Trout'!F27)/100</f>
        <v>2155.378311936629</v>
      </c>
      <c r="J28" s="51">
        <v>0.9068560502594919</v>
      </c>
      <c r="K28" s="51">
        <f>(J28*'ADC''s, Trout'!G27)/100</f>
        <v>0.60214867087558666</v>
      </c>
      <c r="L28" s="147">
        <v>1.2422835290904124</v>
      </c>
      <c r="M28" s="148">
        <f>(L28*'ADC''s, Trout'!H27)/100</f>
        <v>1.1356440762148885</v>
      </c>
      <c r="N28" s="51">
        <v>1.338432122370937</v>
      </c>
      <c r="O28" s="51">
        <f>(N28*'ADC''s, Trout'!I27)/100</f>
        <v>0.72047777869900964</v>
      </c>
      <c r="P28" s="147">
        <v>4.6042065009560238</v>
      </c>
      <c r="Q28" s="148">
        <f>(P28*'ADC''s, Trout'!J27)/100</f>
        <v>4.0392947119222375</v>
      </c>
      <c r="R28" s="147">
        <v>0.74842939087680971</v>
      </c>
      <c r="S28" s="148">
        <f>(R28*'ADC''s, Trout'!K27)/100</f>
        <v>0.43448471060106258</v>
      </c>
      <c r="T28" s="51">
        <v>0.45670581808249111</v>
      </c>
      <c r="U28" s="51">
        <f>(T28*'ADC''s, Trout'!L27)/100</f>
        <v>0.30708597139928107</v>
      </c>
      <c r="V28" s="147">
        <v>0.8292816170445233</v>
      </c>
      <c r="W28" s="148">
        <f>(V28*'ADC''s, Trout'!M27)/100</f>
        <v>0.50616649194650221</v>
      </c>
      <c r="X28" s="51">
        <v>1.6989893471729034</v>
      </c>
      <c r="Y28" s="51">
        <f>(X28*'ADC''s, Trout'!N27)/100</f>
        <v>1.3467836064522423</v>
      </c>
      <c r="Z28" s="147">
        <v>0.67741054356733132</v>
      </c>
      <c r="AA28" s="148">
        <f>(Z28*'ADC''s, Trout'!O27)/100</f>
        <v>0.50824954786451937</v>
      </c>
      <c r="AB28" s="51">
        <v>0.33214968587817534</v>
      </c>
      <c r="AC28" s="51">
        <f>(AB28*'ADC''s, Trout'!P27)/100</f>
        <v>0.2111762172745609</v>
      </c>
      <c r="AD28" s="147">
        <v>1.1974870254028955</v>
      </c>
      <c r="AE28" s="148">
        <f>(AD28*'ADC''s, Trout'!Q27)/100</f>
        <v>0.98303358931043316</v>
      </c>
      <c r="AF28" s="51">
        <v>2.1906582900846763</v>
      </c>
      <c r="AG28" s="197" t="s">
        <v>212</v>
      </c>
      <c r="AH28" s="147">
        <v>0.75389237913138485</v>
      </c>
      <c r="AI28" s="148">
        <f>(AH28*'ADC''s, Trout'!S27)/100</f>
        <v>0.61339558507816916</v>
      </c>
      <c r="AJ28" s="51">
        <v>0.71346626604752805</v>
      </c>
      <c r="AK28" s="51">
        <f>(AJ28*'ADC''s, Trout'!T27)/100</f>
        <v>0.44437961488321581</v>
      </c>
      <c r="AL28" s="147">
        <v>0.79213329691341161</v>
      </c>
      <c r="AM28" s="148">
        <f>(AL28*'ADC''s, Trout'!U27)/100</f>
        <v>0.60293453105925165</v>
      </c>
      <c r="AN28" s="147">
        <v>1.080579076754985</v>
      </c>
      <c r="AO28" s="39">
        <f>(AN28*'ADC''s, Trout'!V27)/100</f>
        <v>0.77359606394305747</v>
      </c>
      <c r="AP28" s="147">
        <v>19.562960939633989</v>
      </c>
      <c r="AQ28" s="187">
        <f>(AP28*'ADC''s, Trout'!W27)/100</f>
        <v>14.046564162442104</v>
      </c>
      <c r="AR28" s="253">
        <v>7.320404261130839E-2</v>
      </c>
      <c r="AS28" s="127" t="s">
        <v>174</v>
      </c>
      <c r="AT28" s="38">
        <v>6.3</v>
      </c>
      <c r="AU28" s="38">
        <v>152.96367112810708</v>
      </c>
      <c r="AV28" s="20">
        <v>0.17481562414640808</v>
      </c>
      <c r="AW28" s="20">
        <v>17.481562414640809</v>
      </c>
      <c r="AX28" s="127" t="s">
        <v>174</v>
      </c>
      <c r="AY28" s="127" t="s">
        <v>174</v>
      </c>
      <c r="AZ28" s="163">
        <v>0.55722480196667579</v>
      </c>
      <c r="BA28" s="61" t="s">
        <v>212</v>
      </c>
      <c r="BB28" s="20">
        <v>0.6118546845124283</v>
      </c>
      <c r="BC28" s="20">
        <v>1.4203769461895657E-2</v>
      </c>
      <c r="BD28" s="20">
        <v>0.2403714832013111</v>
      </c>
      <c r="BE28" s="304">
        <v>31.685331876536459</v>
      </c>
      <c r="BF28" s="52"/>
    </row>
    <row r="29" spans="1:58">
      <c r="A29" s="269" t="s">
        <v>54</v>
      </c>
      <c r="B29" s="51">
        <v>90.29</v>
      </c>
      <c r="C29" s="195" t="s">
        <v>212</v>
      </c>
      <c r="D29" s="197" t="s">
        <v>212</v>
      </c>
      <c r="E29" s="195" t="s">
        <v>212</v>
      </c>
      <c r="F29" s="147">
        <v>16.577694096799203</v>
      </c>
      <c r="G29" s="148">
        <f>(F29*'ADC''s, Trout'!E28)/100</f>
        <v>14.091039982279321</v>
      </c>
      <c r="H29" s="55">
        <v>4663.650459630082</v>
      </c>
      <c r="I29" s="207">
        <f>(H29*'ADC''s, Trout'!F28)/100</f>
        <v>1492.3681470816261</v>
      </c>
      <c r="J29" s="51">
        <v>0.48842618230147306</v>
      </c>
      <c r="K29" s="51">
        <f>(J29*'ADC''s, Trout'!G28)/100</f>
        <v>0.31039584794912167</v>
      </c>
      <c r="L29" s="147">
        <v>0.87606600952486446</v>
      </c>
      <c r="M29" s="148">
        <f>(L29*'ADC''s, Trout'!H28)/100</f>
        <v>0.7490854321106325</v>
      </c>
      <c r="N29" s="51">
        <v>0.88160372134234144</v>
      </c>
      <c r="O29" s="51">
        <f>(N29*'ADC''s, Trout'!I28)/100</f>
        <v>0.80351467668854393</v>
      </c>
      <c r="P29" s="147">
        <v>3.7268800531620339</v>
      </c>
      <c r="Q29" s="148">
        <f>(P29*'ADC''s, Trout'!J28)/100</f>
        <v>3.4980889104713011</v>
      </c>
      <c r="R29" s="147">
        <v>0.54269575811274784</v>
      </c>
      <c r="S29" s="148">
        <f>(R29*'ADC''s, Trout'!K28)/100</f>
        <v>0.45135030538687032</v>
      </c>
      <c r="T29" s="51">
        <v>0.32229482777716251</v>
      </c>
      <c r="U29" s="51">
        <f>(T29*'ADC''s, Trout'!L28)/100</f>
        <v>0.13726374856443596</v>
      </c>
      <c r="V29" s="147">
        <v>0.52719016502381222</v>
      </c>
      <c r="W29" s="148">
        <f>(V29*'ADC''s, Trout'!M28)/100</f>
        <v>0.40823725519395787</v>
      </c>
      <c r="X29" s="51">
        <v>0.97131465278546913</v>
      </c>
      <c r="Y29" s="51">
        <f>(X29*'ADC''s, Trout'!N28)/100</f>
        <v>0.8953723215033591</v>
      </c>
      <c r="Z29" s="147">
        <v>0.38320965776940968</v>
      </c>
      <c r="AA29" s="148">
        <f>(Z29*'ADC''s, Trout'!O28)/100</f>
        <v>0.28420135748608411</v>
      </c>
      <c r="AB29" s="51">
        <v>0.20046516779266807</v>
      </c>
      <c r="AC29" s="51">
        <f>(AB29*'ADC''s, Trout'!P28)/100</f>
        <v>0.12876744079413102</v>
      </c>
      <c r="AD29" s="147">
        <v>0.70882711263705844</v>
      </c>
      <c r="AE29" s="148">
        <f>(AD29*'ADC''s, Trout'!Q28)/100</f>
        <v>0.63251044321781558</v>
      </c>
      <c r="AF29" s="51">
        <v>1.300254734743604</v>
      </c>
      <c r="AG29" s="197" t="s">
        <v>212</v>
      </c>
      <c r="AH29" s="147">
        <v>0.50836194484439035</v>
      </c>
      <c r="AI29" s="148">
        <f>(AH29*'ADC''s, Trout'!S28)/100</f>
        <v>0.50836194484439035</v>
      </c>
      <c r="AJ29" s="51">
        <v>0.40757558976630859</v>
      </c>
      <c r="AK29" s="51">
        <f>(AJ29*'ADC''s, Trout'!T28)/100</f>
        <v>0.30985841186889718</v>
      </c>
      <c r="AL29" s="147">
        <v>0.46073762321408795</v>
      </c>
      <c r="AM29" s="148">
        <f>(AL29*'ADC''s, Trout'!U28)/100</f>
        <v>0.40538849658746534</v>
      </c>
      <c r="AN29" s="147">
        <v>0.66231033337025147</v>
      </c>
      <c r="AO29" s="39">
        <f>(AN29*'ADC''s, Trout'!V28)/100</f>
        <v>0.58873745524430487</v>
      </c>
      <c r="AP29" s="147">
        <v>12.968213534167683</v>
      </c>
      <c r="AQ29" s="187">
        <f>(AP29*'ADC''s, Trout'!W28)/100</f>
        <v>10.4607582675355</v>
      </c>
      <c r="AR29" s="253">
        <v>8.1958134898659857E-2</v>
      </c>
      <c r="AS29" s="30" t="s">
        <v>174</v>
      </c>
      <c r="AT29" s="38">
        <v>6.8</v>
      </c>
      <c r="AU29" s="38">
        <v>48.731863993797759</v>
      </c>
      <c r="AV29" s="20">
        <v>0.16613135452431055</v>
      </c>
      <c r="AW29" s="20">
        <v>60.914829992247192</v>
      </c>
      <c r="AX29" s="30" t="s">
        <v>174</v>
      </c>
      <c r="AY29" s="30" t="s">
        <v>174</v>
      </c>
      <c r="AZ29" s="163">
        <v>0.46516779266806951</v>
      </c>
      <c r="BA29" s="61" t="s">
        <v>212</v>
      </c>
      <c r="BB29" s="20">
        <v>0.56484660538265585</v>
      </c>
      <c r="BC29" s="20" t="s">
        <v>174</v>
      </c>
      <c r="BD29" s="20">
        <v>0.18828220179421862</v>
      </c>
      <c r="BE29" s="304">
        <v>47.624321630302354</v>
      </c>
      <c r="BF29" s="52"/>
    </row>
    <row r="30" spans="1:58">
      <c r="A30" s="273" t="s">
        <v>183</v>
      </c>
      <c r="B30" s="51">
        <v>86.885000000000005</v>
      </c>
      <c r="C30" s="195" t="s">
        <v>212</v>
      </c>
      <c r="D30" s="197" t="s">
        <v>212</v>
      </c>
      <c r="E30" s="195" t="s">
        <v>212</v>
      </c>
      <c r="F30" s="147">
        <v>13.190999597168672</v>
      </c>
      <c r="G30" s="148">
        <f>(F30*'ADC''s, Trout'!E29)/100</f>
        <v>10.816619669678312</v>
      </c>
      <c r="H30" s="55">
        <v>5501.260286585717</v>
      </c>
      <c r="I30" s="207">
        <f>(H30*'ADC''s, Trout'!F29)/100</f>
        <v>3080.7057604880015</v>
      </c>
      <c r="J30" s="51">
        <v>0.31420843643897106</v>
      </c>
      <c r="K30" s="51">
        <f>(J30*'ADC''s, Trout'!G29)/100</f>
        <v>0.15654384981560901</v>
      </c>
      <c r="L30" s="147">
        <v>0.46613339471715487</v>
      </c>
      <c r="M30" s="148">
        <f>(L30*'ADC''s, Trout'!H29)/100</f>
        <v>0.41265807136756977</v>
      </c>
      <c r="N30" s="51">
        <v>0.45807676814179665</v>
      </c>
      <c r="O30" s="51">
        <f>(N30*'ADC''s, Trout'!I29)/100</f>
        <v>0.31463024252659977</v>
      </c>
      <c r="P30" s="147">
        <v>3.3998964148011743</v>
      </c>
      <c r="Q30" s="148">
        <f>(P30*'ADC''s, Trout'!J29)/100</f>
        <v>3.2806059686140703</v>
      </c>
      <c r="R30" s="147">
        <v>0.36024630258387524</v>
      </c>
      <c r="S30" s="148">
        <f>(R30*'ADC''s, Trout'!K29)/100</f>
        <v>0.29845291802857876</v>
      </c>
      <c r="T30" s="51">
        <v>0.21522702422742707</v>
      </c>
      <c r="U30" s="51">
        <f>(T30*'ADC''s, Trout'!L29)/100</f>
        <v>1.6267522978527318E-2</v>
      </c>
      <c r="V30" s="147">
        <v>0.39592564884617593</v>
      </c>
      <c r="W30" s="148">
        <f>(V30*'ADC''s, Trout'!M29)/100</f>
        <v>0.26616133662029734</v>
      </c>
      <c r="X30" s="51">
        <v>0.73890775162571221</v>
      </c>
      <c r="Y30" s="51">
        <f>(X30*'ADC''s, Trout'!N29)/100</f>
        <v>0.67210476880911418</v>
      </c>
      <c r="Z30" s="147">
        <v>0.2221327041491627</v>
      </c>
      <c r="AA30" s="148">
        <f>(Z30*'ADC''s, Trout'!O29)/100</f>
        <v>0.12797632071365306</v>
      </c>
      <c r="AB30" s="51">
        <v>0.15652874489267424</v>
      </c>
      <c r="AC30" s="51">
        <f>(AB30*'ADC''s, Trout'!P29)/100</f>
        <v>3.9652627036000081E-2</v>
      </c>
      <c r="AD30" s="147">
        <v>0.53058640732002071</v>
      </c>
      <c r="AE30" s="148">
        <f>(AD30*'ADC''s, Trout'!Q29)/100</f>
        <v>0.45533121421344236</v>
      </c>
      <c r="AF30" s="51">
        <v>1.1474938136617368</v>
      </c>
      <c r="AG30" s="197" t="s">
        <v>212</v>
      </c>
      <c r="AH30" s="147">
        <v>0.49145422109685216</v>
      </c>
      <c r="AI30" s="148">
        <f>(AH30*'ADC''s, Trout'!S29)/100</f>
        <v>0.46660581151668451</v>
      </c>
      <c r="AJ30" s="51">
        <v>0.3050008632099902</v>
      </c>
      <c r="AK30" s="51">
        <f>(AJ30*'ADC''s, Trout'!T29)/100</f>
        <v>0.20852259985277158</v>
      </c>
      <c r="AL30" s="147">
        <v>0.34873683604764916</v>
      </c>
      <c r="AM30" s="148">
        <f>(AL30*'ADC''s, Trout'!U29)/100</f>
        <v>0.27368040461310916</v>
      </c>
      <c r="AN30" s="147">
        <v>0.4638315014099097</v>
      </c>
      <c r="AO30" s="39">
        <f>(AN30*'ADC''s, Trout'!V29)/100</f>
        <v>0.39423491564815466</v>
      </c>
      <c r="AP30" s="147">
        <v>10.014386833170283</v>
      </c>
      <c r="AQ30" s="187">
        <f>(AP30*'ADC''s, Trout'!W29)/100</f>
        <v>6.9944603621067101</v>
      </c>
      <c r="AR30" s="253">
        <v>2.7622719686942507E-2</v>
      </c>
      <c r="AS30" s="30" t="s">
        <v>174</v>
      </c>
      <c r="AT30" s="38">
        <v>2</v>
      </c>
      <c r="AU30" s="38">
        <v>48.339759452149394</v>
      </c>
      <c r="AV30" s="20">
        <v>3.5679346262300744E-2</v>
      </c>
      <c r="AW30" s="20">
        <v>8.4019105714450131</v>
      </c>
      <c r="AX30" s="30" t="s">
        <v>174</v>
      </c>
      <c r="AY30" s="30" t="s">
        <v>174</v>
      </c>
      <c r="AZ30" s="163">
        <v>0.13811359843471255</v>
      </c>
      <c r="BA30" s="61" t="s">
        <v>212</v>
      </c>
      <c r="BB30" s="20">
        <v>0.17264199804339067</v>
      </c>
      <c r="BC30" s="20" t="s">
        <v>174</v>
      </c>
      <c r="BD30" s="20">
        <v>0.16113253150716467</v>
      </c>
      <c r="BE30" s="304">
        <v>8.7471945675317944</v>
      </c>
      <c r="BF30" s="52"/>
    </row>
    <row r="31" spans="1:58">
      <c r="A31" s="269" t="s">
        <v>55</v>
      </c>
      <c r="B31" s="51">
        <v>88.64</v>
      </c>
      <c r="C31" s="195" t="s">
        <v>212</v>
      </c>
      <c r="D31" s="197" t="s">
        <v>212</v>
      </c>
      <c r="E31" s="195" t="s">
        <v>212</v>
      </c>
      <c r="F31" s="147">
        <v>10.685920577617328</v>
      </c>
      <c r="G31" s="148">
        <f>(F31*'ADC''s, Trout'!E30)/100</f>
        <v>7.0527075812274358</v>
      </c>
      <c r="H31" s="55">
        <v>4811.4395306859205</v>
      </c>
      <c r="I31" s="207">
        <f>(H31*'ADC''s, Trout'!F30)/100</f>
        <v>1972.6902075812272</v>
      </c>
      <c r="J31" s="51">
        <v>0.63064079422382679</v>
      </c>
      <c r="K31" s="51">
        <f>(J31*'ADC''s, Trout'!G30)/100</f>
        <v>0.61137839543398331</v>
      </c>
      <c r="L31" s="147">
        <v>0.50203068592057765</v>
      </c>
      <c r="M31" s="148">
        <f>(L31*'ADC''s, Trout'!H30)/100</f>
        <v>0.50203068592057765</v>
      </c>
      <c r="N31" s="51">
        <v>0.64417870036101077</v>
      </c>
      <c r="O31" s="51">
        <f>(N31*'ADC''s, Trout'!I30)/100</f>
        <v>0.64417870036101077</v>
      </c>
      <c r="P31" s="147">
        <v>1.4587093862815885</v>
      </c>
      <c r="Q31" s="148">
        <f>(P31*'ADC''s, Trout'!J30)/100</f>
        <v>1.4587093862815885</v>
      </c>
      <c r="R31" s="147">
        <v>0.35198555956678701</v>
      </c>
      <c r="S31" s="148">
        <f>(R31*'ADC''s, Trout'!K30)/100</f>
        <v>0.35198555956678701</v>
      </c>
      <c r="T31" s="51">
        <v>0.25496389891696752</v>
      </c>
      <c r="U31" s="51">
        <f>(T31*'ADC''s, Trout'!L30)/100</f>
        <v>0.25496389891696752</v>
      </c>
      <c r="V31" s="147">
        <v>0.32265342960288806</v>
      </c>
      <c r="W31" s="148">
        <f>(V31*'ADC''s, Trout'!M30)/100</f>
        <v>0.32265342960288806</v>
      </c>
      <c r="X31" s="51">
        <v>1.0356498194945849</v>
      </c>
      <c r="Y31" s="51">
        <f>(X31*'ADC''s, Trout'!N30)/100</f>
        <v>1.0356498194945849</v>
      </c>
      <c r="Z31" s="147">
        <v>0.28542418772563177</v>
      </c>
      <c r="AA31" s="148">
        <f>(Z31*'ADC''s, Trout'!O30)/100</f>
        <v>0.13484172324393545</v>
      </c>
      <c r="AB31" s="51">
        <v>0.15004512635379064</v>
      </c>
      <c r="AC31" s="51">
        <f>(AB31*'ADC''s, Trout'!P30)/100</f>
        <v>0.11555932719810327</v>
      </c>
      <c r="AD31" s="147">
        <v>0.42982851985559567</v>
      </c>
      <c r="AE31" s="148">
        <f>(AD31*'ADC''s, Trout'!Q30)/100</f>
        <v>0.41105596574789877</v>
      </c>
      <c r="AF31" s="51">
        <v>0.74684115523465711</v>
      </c>
      <c r="AG31" s="197" t="s">
        <v>212</v>
      </c>
      <c r="AH31" s="147">
        <v>0.38470216606498198</v>
      </c>
      <c r="AI31" s="148">
        <f>(AH31*'ADC''s, Trout'!S30)/100</f>
        <v>0.38470216606498198</v>
      </c>
      <c r="AJ31" s="51">
        <v>0.33506317689530685</v>
      </c>
      <c r="AK31" s="51">
        <f>(AJ31*'ADC''s, Trout'!T30)/100</f>
        <v>0.33506317689530685</v>
      </c>
      <c r="AL31" s="147">
        <v>0.29896209386281591</v>
      </c>
      <c r="AM31" s="148">
        <f>(AL31*'ADC''s, Trout'!U30)/100</f>
        <v>0.29896209386281591</v>
      </c>
      <c r="AN31" s="147">
        <v>0.45690433212996395</v>
      </c>
      <c r="AO31" s="39">
        <f>(AN31*'ADC''s, Trout'!V30)/100</f>
        <v>0.45690433212996395</v>
      </c>
      <c r="AP31" s="147">
        <v>8.2885830324909744</v>
      </c>
      <c r="AQ31" s="187">
        <f>(AP31*'ADC''s, Trout'!W30)/100</f>
        <v>8.2885830324909744</v>
      </c>
      <c r="AR31" s="253">
        <v>1.8050541516245487E-2</v>
      </c>
      <c r="AS31" s="30" t="s">
        <v>174</v>
      </c>
      <c r="AT31" s="38">
        <v>2.6</v>
      </c>
      <c r="AU31" s="38">
        <v>40.613718411552341</v>
      </c>
      <c r="AV31" s="20">
        <v>0.11168772563176896</v>
      </c>
      <c r="AW31" s="20">
        <v>5.4151624548736459</v>
      </c>
      <c r="AX31" s="30" t="s">
        <v>174</v>
      </c>
      <c r="AY31" s="30" t="s">
        <v>174</v>
      </c>
      <c r="AZ31" s="163">
        <v>0.3046028880866426</v>
      </c>
      <c r="BA31" s="61" t="s">
        <v>212</v>
      </c>
      <c r="BB31" s="20">
        <v>0.39485559566787004</v>
      </c>
      <c r="BC31" s="20" t="s">
        <v>174</v>
      </c>
      <c r="BD31" s="20">
        <v>0.11281588447653429</v>
      </c>
      <c r="BE31" s="304">
        <v>23.691335740072201</v>
      </c>
      <c r="BF31" s="52"/>
    </row>
    <row r="32" spans="1:58" s="19" customFormat="1">
      <c r="B32" s="29"/>
      <c r="C32" s="29"/>
      <c r="D32" s="135"/>
      <c r="E32" s="135"/>
      <c r="F32" s="29"/>
      <c r="G32" s="39"/>
      <c r="H32" s="26"/>
      <c r="I32" s="26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26"/>
      <c r="AQ32" s="39"/>
      <c r="AR32" s="20"/>
      <c r="AS32" s="20"/>
      <c r="AT32" s="38"/>
      <c r="AU32" s="30"/>
      <c r="AV32" s="30"/>
      <c r="AW32" s="20"/>
      <c r="AX32" s="20"/>
      <c r="AY32" s="38"/>
      <c r="AZ32" s="38"/>
      <c r="BA32" s="38"/>
      <c r="BB32" s="20"/>
      <c r="BC32" s="20"/>
      <c r="BD32" s="20"/>
      <c r="BE32" s="20"/>
    </row>
    <row r="33" spans="1:63" s="19" customFormat="1">
      <c r="B33" s="29"/>
      <c r="C33" s="29"/>
      <c r="D33" s="29"/>
      <c r="E33" s="29"/>
      <c r="F33" s="29"/>
      <c r="G33" s="39"/>
      <c r="H33" s="26"/>
      <c r="I33" s="26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26"/>
      <c r="AQ33" s="39"/>
      <c r="AR33" s="20"/>
      <c r="AS33" s="20"/>
      <c r="AT33" s="38"/>
      <c r="AU33" s="30"/>
      <c r="AV33" s="30"/>
      <c r="AW33" s="20"/>
      <c r="AX33" s="38"/>
      <c r="AY33" s="38"/>
      <c r="AZ33" s="38"/>
      <c r="BA33" s="38"/>
      <c r="BB33" s="20"/>
      <c r="BC33" s="20"/>
      <c r="BD33" s="20"/>
      <c r="BE33" s="20"/>
    </row>
    <row r="34" spans="1:63" ht="18.75">
      <c r="B34" s="91"/>
      <c r="C34" s="91"/>
      <c r="D34" s="105" t="s">
        <v>214</v>
      </c>
      <c r="E34" s="105"/>
      <c r="F34" s="143"/>
      <c r="G34" s="143"/>
      <c r="H34" s="91"/>
      <c r="I34" s="91"/>
      <c r="J34" s="154"/>
      <c r="K34" s="90"/>
      <c r="L34" s="154"/>
      <c r="M34" s="155"/>
      <c r="N34" s="90"/>
      <c r="O34" s="90"/>
      <c r="P34" s="154"/>
      <c r="Q34" s="155"/>
      <c r="R34" s="154"/>
      <c r="S34" s="155"/>
      <c r="T34" s="90"/>
      <c r="U34" s="90"/>
      <c r="V34" s="154"/>
      <c r="W34" s="155"/>
      <c r="X34" s="106" t="s">
        <v>218</v>
      </c>
      <c r="Y34" s="90"/>
      <c r="Z34" s="154"/>
      <c r="AA34" s="155"/>
      <c r="AB34" s="90"/>
      <c r="AC34" s="90"/>
      <c r="AD34" s="154"/>
      <c r="AE34" s="155"/>
      <c r="AF34" s="90"/>
      <c r="AG34" s="90"/>
      <c r="AH34" s="154"/>
      <c r="AI34" s="155"/>
      <c r="AJ34" s="90"/>
      <c r="AK34" s="90"/>
      <c r="AL34" s="154"/>
      <c r="AM34" s="155"/>
      <c r="AN34" s="154"/>
      <c r="AO34" s="260"/>
      <c r="AP34" s="144"/>
      <c r="AQ34" s="145"/>
      <c r="AR34" s="256"/>
      <c r="AS34" s="247"/>
      <c r="AT34" s="247"/>
      <c r="AU34" s="247"/>
      <c r="AV34" s="298"/>
      <c r="AW34" s="299" t="s">
        <v>239</v>
      </c>
      <c r="AX34" s="247"/>
      <c r="AY34" s="247"/>
      <c r="AZ34" s="247"/>
      <c r="BA34" s="247"/>
      <c r="BB34" s="247"/>
      <c r="BC34" s="247"/>
      <c r="BD34" s="247"/>
      <c r="BE34" s="300"/>
      <c r="BF34" s="441" t="s">
        <v>246</v>
      </c>
      <c r="BG34" s="442"/>
      <c r="BH34" s="442"/>
      <c r="BI34" s="442"/>
      <c r="BJ34" s="442"/>
      <c r="BK34" s="442"/>
    </row>
    <row r="35" spans="1:63">
      <c r="B35" s="455" t="s">
        <v>240</v>
      </c>
      <c r="C35" s="455"/>
      <c r="D35" s="452" t="s">
        <v>1</v>
      </c>
      <c r="E35" s="453"/>
      <c r="F35" s="452" t="s">
        <v>236</v>
      </c>
      <c r="G35" s="453"/>
      <c r="H35" s="455" t="s">
        <v>235</v>
      </c>
      <c r="I35" s="455"/>
      <c r="J35" s="449" t="s">
        <v>221</v>
      </c>
      <c r="K35" s="449"/>
      <c r="L35" s="446" t="s">
        <v>222</v>
      </c>
      <c r="M35" s="451"/>
      <c r="N35" s="449" t="s">
        <v>237</v>
      </c>
      <c r="O35" s="450"/>
      <c r="P35" s="446" t="s">
        <v>223</v>
      </c>
      <c r="Q35" s="451"/>
      <c r="R35" s="446" t="s">
        <v>224</v>
      </c>
      <c r="S35" s="451"/>
      <c r="T35" s="449" t="s">
        <v>225</v>
      </c>
      <c r="U35" s="450"/>
      <c r="V35" s="446" t="s">
        <v>226</v>
      </c>
      <c r="W35" s="451"/>
      <c r="X35" s="449" t="s">
        <v>227</v>
      </c>
      <c r="Y35" s="450"/>
      <c r="Z35" s="446" t="s">
        <v>219</v>
      </c>
      <c r="AA35" s="451"/>
      <c r="AB35" s="449" t="s">
        <v>228</v>
      </c>
      <c r="AC35" s="450"/>
      <c r="AD35" s="446" t="s">
        <v>229</v>
      </c>
      <c r="AE35" s="448"/>
      <c r="AF35" s="449" t="s">
        <v>230</v>
      </c>
      <c r="AG35" s="449"/>
      <c r="AH35" s="446" t="s">
        <v>231</v>
      </c>
      <c r="AI35" s="448"/>
      <c r="AJ35" s="449" t="s">
        <v>232</v>
      </c>
      <c r="AK35" s="449"/>
      <c r="AL35" s="446" t="s">
        <v>233</v>
      </c>
      <c r="AM35" s="451"/>
      <c r="AN35" s="446" t="s">
        <v>234</v>
      </c>
      <c r="AO35" s="454"/>
      <c r="AP35" s="446" t="s">
        <v>220</v>
      </c>
      <c r="AQ35" s="451"/>
      <c r="AR35" s="219" t="s">
        <v>4</v>
      </c>
      <c r="AS35" s="121" t="s">
        <v>5</v>
      </c>
      <c r="AT35" s="121" t="s">
        <v>6</v>
      </c>
      <c r="AU35" s="122" t="s">
        <v>7</v>
      </c>
      <c r="AV35" s="121" t="s">
        <v>8</v>
      </c>
      <c r="AW35" s="121" t="s">
        <v>9</v>
      </c>
      <c r="AX35" s="121" t="s">
        <v>10</v>
      </c>
      <c r="AY35" s="121" t="s">
        <v>11</v>
      </c>
      <c r="AZ35" s="457" t="s">
        <v>238</v>
      </c>
      <c r="BA35" s="458"/>
      <c r="BB35" s="121" t="s">
        <v>13</v>
      </c>
      <c r="BC35" s="121" t="s">
        <v>14</v>
      </c>
      <c r="BD35" s="121" t="s">
        <v>15</v>
      </c>
      <c r="BE35" s="220" t="s">
        <v>16</v>
      </c>
      <c r="BF35" s="443" t="s">
        <v>243</v>
      </c>
      <c r="BG35" s="444"/>
      <c r="BH35" s="445" t="s">
        <v>244</v>
      </c>
      <c r="BI35" s="444"/>
      <c r="BJ35" s="445" t="s">
        <v>245</v>
      </c>
      <c r="BK35" s="444"/>
    </row>
    <row r="36" spans="1:63" ht="13.5" thickBot="1">
      <c r="A36" s="35" t="s">
        <v>78</v>
      </c>
      <c r="B36" s="149" t="s">
        <v>217</v>
      </c>
      <c r="C36" s="100" t="s">
        <v>215</v>
      </c>
      <c r="D36" s="149" t="s">
        <v>217</v>
      </c>
      <c r="E36" s="150" t="s">
        <v>215</v>
      </c>
      <c r="F36" s="149" t="s">
        <v>101</v>
      </c>
      <c r="G36" s="150" t="s">
        <v>215</v>
      </c>
      <c r="H36" s="100" t="s">
        <v>216</v>
      </c>
      <c r="I36" s="100" t="s">
        <v>215</v>
      </c>
      <c r="J36" s="146" t="s">
        <v>217</v>
      </c>
      <c r="K36" s="146" t="s">
        <v>215</v>
      </c>
      <c r="L36" s="151" t="s">
        <v>217</v>
      </c>
      <c r="M36" s="152" t="s">
        <v>215</v>
      </c>
      <c r="N36" s="146" t="s">
        <v>217</v>
      </c>
      <c r="O36" s="146" t="s">
        <v>215</v>
      </c>
      <c r="P36" s="151" t="s">
        <v>217</v>
      </c>
      <c r="Q36" s="152" t="s">
        <v>215</v>
      </c>
      <c r="R36" s="151" t="s">
        <v>217</v>
      </c>
      <c r="S36" s="152" t="s">
        <v>215</v>
      </c>
      <c r="T36" s="146" t="s">
        <v>217</v>
      </c>
      <c r="U36" s="146" t="s">
        <v>215</v>
      </c>
      <c r="V36" s="151" t="s">
        <v>217</v>
      </c>
      <c r="W36" s="152" t="s">
        <v>215</v>
      </c>
      <c r="X36" s="146" t="s">
        <v>217</v>
      </c>
      <c r="Y36" s="146" t="s">
        <v>215</v>
      </c>
      <c r="Z36" s="151" t="s">
        <v>217</v>
      </c>
      <c r="AA36" s="152" t="s">
        <v>215</v>
      </c>
      <c r="AB36" s="146" t="s">
        <v>217</v>
      </c>
      <c r="AC36" s="146" t="s">
        <v>215</v>
      </c>
      <c r="AD36" s="151" t="s">
        <v>217</v>
      </c>
      <c r="AE36" s="152" t="s">
        <v>215</v>
      </c>
      <c r="AF36" s="146" t="s">
        <v>217</v>
      </c>
      <c r="AG36" s="146" t="s">
        <v>215</v>
      </c>
      <c r="AH36" s="151" t="s">
        <v>217</v>
      </c>
      <c r="AI36" s="152" t="s">
        <v>215</v>
      </c>
      <c r="AJ36" s="146" t="s">
        <v>217</v>
      </c>
      <c r="AK36" s="146" t="s">
        <v>215</v>
      </c>
      <c r="AL36" s="151" t="s">
        <v>217</v>
      </c>
      <c r="AM36" s="152" t="s">
        <v>215</v>
      </c>
      <c r="AN36" s="151" t="s">
        <v>217</v>
      </c>
      <c r="AO36" s="146" t="s">
        <v>215</v>
      </c>
      <c r="AP36" s="151" t="s">
        <v>217</v>
      </c>
      <c r="AQ36" s="152" t="s">
        <v>215</v>
      </c>
      <c r="AR36" s="257" t="s">
        <v>93</v>
      </c>
      <c r="AS36" s="96" t="s">
        <v>91</v>
      </c>
      <c r="AT36" s="118" t="s">
        <v>91</v>
      </c>
      <c r="AU36" s="97" t="s">
        <v>91</v>
      </c>
      <c r="AV36" s="118" t="s">
        <v>93</v>
      </c>
      <c r="AW36" s="118" t="s">
        <v>91</v>
      </c>
      <c r="AX36" s="118" t="s">
        <v>91</v>
      </c>
      <c r="AY36" s="160" t="s">
        <v>91</v>
      </c>
      <c r="AZ36" s="161" t="s">
        <v>217</v>
      </c>
      <c r="BA36" s="162" t="s">
        <v>215</v>
      </c>
      <c r="BB36" s="159" t="s">
        <v>93</v>
      </c>
      <c r="BC36" s="118" t="s">
        <v>93</v>
      </c>
      <c r="BD36" s="118" t="s">
        <v>93</v>
      </c>
      <c r="BE36" s="301" t="s">
        <v>91</v>
      </c>
      <c r="BF36" s="350" t="s">
        <v>217</v>
      </c>
      <c r="BG36" s="351" t="s">
        <v>215</v>
      </c>
      <c r="BH36" s="352" t="s">
        <v>217</v>
      </c>
      <c r="BI36" s="351" t="s">
        <v>215</v>
      </c>
      <c r="BJ36" s="352" t="s">
        <v>217</v>
      </c>
      <c r="BK36" s="351" t="s">
        <v>215</v>
      </c>
    </row>
    <row r="37" spans="1:63">
      <c r="A37" s="44" t="s">
        <v>56</v>
      </c>
      <c r="B37" s="38">
        <v>92.371776140705123</v>
      </c>
      <c r="C37" s="38">
        <f>(B37*'ADC''s, Trout'!C37)/100</f>
        <v>8.1040488543305109</v>
      </c>
      <c r="D37" s="197" t="s">
        <v>212</v>
      </c>
      <c r="E37" s="251" t="s">
        <v>212</v>
      </c>
      <c r="F37" s="204">
        <v>15.823556296823227</v>
      </c>
      <c r="G37" s="202">
        <f>(F37*'ADC''s, Trout'!E37)/100</f>
        <v>10.926899222760621</v>
      </c>
      <c r="H37" s="85">
        <v>4400.857242159952</v>
      </c>
      <c r="I37" s="208">
        <f>(H37*'ADC''s, Trout'!F37)/100</f>
        <v>351.48367761827859</v>
      </c>
      <c r="J37" s="38">
        <v>0.5661902605438065</v>
      </c>
      <c r="K37" s="51">
        <f>(J37*'ADC''s, Trout'!G37)/100</f>
        <v>0.5661902605438065</v>
      </c>
      <c r="L37" s="156">
        <v>0.80435824777064668</v>
      </c>
      <c r="M37" s="148">
        <f>(L37*'ADC''s, Trout'!H37)/100</f>
        <v>0.79944804521096657</v>
      </c>
      <c r="N37" s="38">
        <v>0.83791828233442878</v>
      </c>
      <c r="O37" s="51">
        <f>(N37*'ADC''s, Trout'!I37)/100</f>
        <v>0.73966391780807395</v>
      </c>
      <c r="P37" s="156">
        <v>3.0139076201796504</v>
      </c>
      <c r="Q37" s="148">
        <f>(P37*'ADC''s, Trout'!J37)/100</f>
        <v>3.01390762017965</v>
      </c>
      <c r="R37" s="156">
        <v>0.53046506245978042</v>
      </c>
      <c r="S37" s="148">
        <f>(R37*'ADC''s, Trout'!K37)/100</f>
        <v>0.43301019274094116</v>
      </c>
      <c r="T37" s="38">
        <v>0.29662740227342826</v>
      </c>
      <c r="U37" s="51">
        <f>(T37*'ADC''s, Trout'!L37)/100</f>
        <v>0.28035247923785905</v>
      </c>
      <c r="V37" s="156">
        <v>0.4557669210113624</v>
      </c>
      <c r="W37" s="148">
        <f>(V37*'ADC''s, Trout'!M37)/100</f>
        <v>0.4557669210113624</v>
      </c>
      <c r="X37" s="38">
        <v>0.90395576970187075</v>
      </c>
      <c r="Y37" s="51">
        <f>(X37*'ADC''s, Trout'!N37)/100</f>
        <v>0.90395576970187075</v>
      </c>
      <c r="Z37" s="156">
        <v>0.49690502789599844</v>
      </c>
      <c r="AA37" s="148">
        <f>(Z37*'ADC''s, Trout'!O37)/100</f>
        <v>0.4969050278959985</v>
      </c>
      <c r="AB37" s="38">
        <v>0.15264402817720213</v>
      </c>
      <c r="AC37" s="51">
        <f>(AB37*'ADC''s, Trout'!P37)/100</f>
        <v>0.15264402817720213</v>
      </c>
      <c r="AD37" s="156">
        <v>0.70259556231917863</v>
      </c>
      <c r="AE37" s="148">
        <f>(AD37*'ADC''s, Trout'!Q37)/100</f>
        <v>0.66054688863487432</v>
      </c>
      <c r="AF37" s="38">
        <v>1.4474118132831153</v>
      </c>
      <c r="AG37" s="38">
        <f>(AF37*'ADC''s, Trout'!R37)/100</f>
        <v>1.4474118132831153</v>
      </c>
      <c r="AH37" s="156">
        <v>0.58675931398612458</v>
      </c>
      <c r="AI37" s="148">
        <f>(AH37*'ADC''s, Trout'!S37)/100</f>
        <v>0.58675931398612458</v>
      </c>
      <c r="AJ37" s="38">
        <v>0.48607921029477841</v>
      </c>
      <c r="AK37" s="51">
        <f>(AJ37*'ADC''s, Trout'!T37)/100</f>
        <v>0.42043467874366014</v>
      </c>
      <c r="AL37" s="156">
        <v>0.36499999999999999</v>
      </c>
      <c r="AM37" s="148">
        <f>(AL37*'ADC''s, Trout'!U37)/100</f>
        <v>0</v>
      </c>
      <c r="AN37" s="156">
        <v>0.65900000000000003</v>
      </c>
      <c r="AO37" s="305">
        <f>(AN37*'ADC''s, Trout'!V37)/100</f>
        <v>0.65727722291298196</v>
      </c>
      <c r="AP37" s="204">
        <f t="shared" ref="AP37:AP44" si="0">(J37+L37+N37+P37+R37+T37+V37+X37+Z37+AB37+AD37+AF37+AH37+AJ37+AL37+AN37)</f>
        <v>12.305584522231374</v>
      </c>
      <c r="AQ37" s="148">
        <f>(AP37*'ADC''s, Trout'!W37)/100</f>
        <v>12.305584522231374</v>
      </c>
      <c r="AR37" s="258" t="s">
        <v>212</v>
      </c>
      <c r="AS37" s="23" t="s">
        <v>212</v>
      </c>
      <c r="AT37" s="23" t="s">
        <v>212</v>
      </c>
      <c r="AU37" s="23" t="s">
        <v>212</v>
      </c>
      <c r="AV37" s="23" t="s">
        <v>212</v>
      </c>
      <c r="AW37" s="23" t="s">
        <v>212</v>
      </c>
      <c r="AX37" s="23" t="s">
        <v>212</v>
      </c>
      <c r="AY37" s="23" t="s">
        <v>212</v>
      </c>
      <c r="AZ37" s="248">
        <v>0.41138106884636039</v>
      </c>
      <c r="BA37" s="167">
        <f>(AZ37*'ADC''s, Trout'!X37)/100</f>
        <v>0.10407735207522809</v>
      </c>
      <c r="BB37" s="23" t="s">
        <v>212</v>
      </c>
      <c r="BC37" s="23" t="s">
        <v>212</v>
      </c>
      <c r="BD37" s="23" t="s">
        <v>212</v>
      </c>
      <c r="BE37" s="306" t="s">
        <v>212</v>
      </c>
      <c r="BF37" s="78">
        <v>53.2</v>
      </c>
      <c r="BG37" s="353">
        <f>(BF37*'[1]ADC''s, Trout'!AB37)/100</f>
        <v>21.812000000000001</v>
      </c>
      <c r="BH37" s="354">
        <v>14.9</v>
      </c>
      <c r="BI37" s="353">
        <f>(BH37*'[1]ADC''s, Trout'!AC37)/100</f>
        <v>1.1919999999999999</v>
      </c>
      <c r="BJ37" s="354">
        <v>38.299999999999997</v>
      </c>
      <c r="BK37" s="353">
        <f>(BJ37*'[1]ADC''s, Trout'!AD37)/100</f>
        <v>15.32</v>
      </c>
    </row>
    <row r="38" spans="1:63">
      <c r="A38" s="43" t="s">
        <v>57</v>
      </c>
      <c r="B38" s="38">
        <v>92.371776140705123</v>
      </c>
      <c r="C38" s="38">
        <f>(B38*'ADC''s, Trout'!C38)/100</f>
        <v>28.645227376139754</v>
      </c>
      <c r="D38" s="197" t="s">
        <v>212</v>
      </c>
      <c r="E38" s="195" t="s">
        <v>212</v>
      </c>
      <c r="F38" s="156">
        <v>15.823556296823227</v>
      </c>
      <c r="G38" s="148">
        <f>(F38*'ADC''s, Trout'!E38)/100</f>
        <v>15.823556296823226</v>
      </c>
      <c r="H38" s="85">
        <v>4400.857242159952</v>
      </c>
      <c r="I38" s="207">
        <f>(H38*'ADC''s, Trout'!F38)/100</f>
        <v>1178.6916905698035</v>
      </c>
      <c r="J38" s="38">
        <v>0.5661902605438065</v>
      </c>
      <c r="K38" s="51">
        <f>(J38*'ADC''s, Trout'!G38)/100</f>
        <v>0.5661902605438065</v>
      </c>
      <c r="L38" s="156">
        <v>0.80435824777064668</v>
      </c>
      <c r="M38" s="148">
        <f>(L38*'ADC''s, Trout'!H38)/100</f>
        <v>0.80435824777064668</v>
      </c>
      <c r="N38" s="38">
        <v>0.83791828233442878</v>
      </c>
      <c r="O38" s="51">
        <f>(N38*'ADC''s, Trout'!I38)/100</f>
        <v>0.83791828233442867</v>
      </c>
      <c r="P38" s="156">
        <v>3.0139076201796504</v>
      </c>
      <c r="Q38" s="148">
        <f>(P38*'ADC''s, Trout'!J38)/100</f>
        <v>3.01390762017965</v>
      </c>
      <c r="R38" s="156">
        <v>0.53046506245978042</v>
      </c>
      <c r="S38" s="148">
        <f>(R38*'ADC''s, Trout'!K38)/100</f>
        <v>0.53046506245978042</v>
      </c>
      <c r="T38" s="38">
        <v>0.29662740227342826</v>
      </c>
      <c r="U38" s="51">
        <f>(T38*'ADC''s, Trout'!L38)/100</f>
        <v>0.29662740227342826</v>
      </c>
      <c r="V38" s="156">
        <v>0.4557669210113624</v>
      </c>
      <c r="W38" s="148">
        <f>(V38*'ADC''s, Trout'!M38)/100</f>
        <v>0.4557669210113624</v>
      </c>
      <c r="X38" s="38">
        <v>0.90395576970187075</v>
      </c>
      <c r="Y38" s="51">
        <f>(X38*'ADC''s, Trout'!N38)/100</f>
        <v>0.90395576970187075</v>
      </c>
      <c r="Z38" s="156">
        <v>0.49690502789599844</v>
      </c>
      <c r="AA38" s="148">
        <f>(Z38*'ADC''s, Trout'!O38)/100</f>
        <v>0.4969050278959985</v>
      </c>
      <c r="AB38" s="38">
        <v>0.15264402817720213</v>
      </c>
      <c r="AC38" s="51">
        <f>(AB38*'ADC''s, Trout'!P38)/100</f>
        <v>0.15264402817720213</v>
      </c>
      <c r="AD38" s="156">
        <v>0.70259556231917863</v>
      </c>
      <c r="AE38" s="148">
        <f>(AD38*'ADC''s, Trout'!Q38)/100</f>
        <v>0.70259556231917875</v>
      </c>
      <c r="AF38" s="38">
        <v>1.4474118132831153</v>
      </c>
      <c r="AG38" s="38">
        <f>(AF38*'ADC''s, Trout'!R38)/100</f>
        <v>1.4474118132831153</v>
      </c>
      <c r="AH38" s="156">
        <v>0.58675931398612458</v>
      </c>
      <c r="AI38" s="148">
        <f>(AH38*'ADC''s, Trout'!S38)/100</f>
        <v>0.58675931398612458</v>
      </c>
      <c r="AJ38" s="38">
        <v>0.48607921029477841</v>
      </c>
      <c r="AK38" s="51">
        <f>(AJ38*'ADC''s, Trout'!T38)/100</f>
        <v>0.48607921029477841</v>
      </c>
      <c r="AL38" s="156">
        <v>0.36483005316111433</v>
      </c>
      <c r="AM38" s="148">
        <f>(AL38*'ADC''s, Trout'!U38)/100</f>
        <v>0.36483005316111433</v>
      </c>
      <c r="AN38" s="156">
        <v>0.65929229191429861</v>
      </c>
      <c r="AO38" s="39">
        <f>(AN38*'ADC''s, Trout'!V38)/100</f>
        <v>0.6592922919142985</v>
      </c>
      <c r="AP38" s="156">
        <f t="shared" si="0"/>
        <v>12.305706867306785</v>
      </c>
      <c r="AQ38" s="148">
        <f>(AP38*'ADC''s, Trout'!W38)/100</f>
        <v>12.305706867306785</v>
      </c>
      <c r="AR38" s="258" t="s">
        <v>212</v>
      </c>
      <c r="AS38" s="23" t="s">
        <v>212</v>
      </c>
      <c r="AT38" s="23" t="s">
        <v>212</v>
      </c>
      <c r="AU38" s="23" t="s">
        <v>212</v>
      </c>
      <c r="AV38" s="23" t="s">
        <v>212</v>
      </c>
      <c r="AW38" s="23" t="s">
        <v>212</v>
      </c>
      <c r="AX38" s="23" t="s">
        <v>212</v>
      </c>
      <c r="AY38" s="23" t="s">
        <v>212</v>
      </c>
      <c r="AZ38" s="163">
        <v>0.32331763129823488</v>
      </c>
      <c r="BA38" s="167">
        <f>(AZ38*'ADC''s, Trout'!X38)/100</f>
        <v>0.14113877940747421</v>
      </c>
      <c r="BB38" s="23" t="s">
        <v>212</v>
      </c>
      <c r="BC38" s="23" t="s">
        <v>212</v>
      </c>
      <c r="BD38" s="23" t="s">
        <v>212</v>
      </c>
      <c r="BE38" s="306" t="s">
        <v>212</v>
      </c>
      <c r="BF38" s="355">
        <v>52</v>
      </c>
      <c r="BG38" s="353">
        <f>(BF38*'[1]ADC''s, Trout'!AB38)/100</f>
        <v>24.44</v>
      </c>
      <c r="BH38" s="354">
        <v>14.7</v>
      </c>
      <c r="BI38" s="353">
        <f>(BH38*'[1]ADC''s, Trout'!AC38)/100</f>
        <v>3.9689999999999999</v>
      </c>
      <c r="BJ38" s="354">
        <v>37.299999999999997</v>
      </c>
      <c r="BK38" s="353">
        <f>(BJ38*'[1]ADC''s, Trout'!AD38)/100</f>
        <v>17.158000000000001</v>
      </c>
    </row>
    <row r="39" spans="1:63">
      <c r="A39" s="43" t="s">
        <v>58</v>
      </c>
      <c r="B39" s="38">
        <v>92.788011218377946</v>
      </c>
      <c r="C39" s="38">
        <f>(B39*'ADC''s, Trout'!C39)/100</f>
        <v>2.0008900506554328</v>
      </c>
      <c r="D39" s="197" t="s">
        <v>212</v>
      </c>
      <c r="E39" s="195" t="s">
        <v>212</v>
      </c>
      <c r="F39" s="156">
        <v>14.397334121710399</v>
      </c>
      <c r="G39" s="148">
        <f>(F39*'ADC''s, Trout'!E39)/100</f>
        <v>7.6249600025334363</v>
      </c>
      <c r="H39" s="85">
        <v>4361.069869766241</v>
      </c>
      <c r="I39" s="207">
        <f>(H39*'ADC''s, Trout'!F39)/100</f>
        <v>495.49430429818864</v>
      </c>
      <c r="J39" s="38">
        <v>0.47312146713308367</v>
      </c>
      <c r="K39" s="51">
        <f>(J39*'ADC''s, Trout'!G39)/100</f>
        <v>0.38422016204488713</v>
      </c>
      <c r="L39" s="156">
        <v>0.63262483190687957</v>
      </c>
      <c r="M39" s="148">
        <f>(L39*'ADC''s, Trout'!H39)/100</f>
        <v>0.62503371298083177</v>
      </c>
      <c r="N39" s="38">
        <v>0.67788930028863248</v>
      </c>
      <c r="O39" s="51">
        <f>(N39*'ADC''s, Trout'!I39)/100</f>
        <v>0.52329949658826447</v>
      </c>
      <c r="P39" s="156">
        <v>2.7244899064064594</v>
      </c>
      <c r="Q39" s="148">
        <f>(P39*'ADC''s, Trout'!J39)/100</f>
        <v>2.563163264251362</v>
      </c>
      <c r="R39" s="156">
        <v>0.43001244962665242</v>
      </c>
      <c r="S39" s="148">
        <f>(R39*'ADC''s, Trout'!K39)/100</f>
        <v>0.3728710291522222</v>
      </c>
      <c r="T39" s="38">
        <v>0.24141049803601539</v>
      </c>
      <c r="U39" s="51">
        <f>(T39*'ADC''s, Trout'!L39)/100</f>
        <v>0.22492860574767781</v>
      </c>
      <c r="V39" s="156">
        <v>0.39768068649682886</v>
      </c>
      <c r="W39" s="148">
        <f>(V39*'ADC''s, Trout'!M39)/100</f>
        <v>0.34612132432893217</v>
      </c>
      <c r="X39" s="38">
        <v>0.75764098267553037</v>
      </c>
      <c r="Y39" s="51">
        <f>(X39*'ADC''s, Trout'!N39)/100</f>
        <v>0.75764098267553037</v>
      </c>
      <c r="Z39" s="156">
        <v>0.39229205930852495</v>
      </c>
      <c r="AA39" s="148">
        <f>(Z39*'ADC''s, Trout'!O39)/100</f>
        <v>0.39356828560587942</v>
      </c>
      <c r="AB39" s="38">
        <v>0.13256022883227631</v>
      </c>
      <c r="AC39" s="51">
        <f>(AB39*'ADC''s, Trout'!P39)/100</f>
        <v>8.1549691056502727E-2</v>
      </c>
      <c r="AD39" s="156">
        <v>0.5992153433393953</v>
      </c>
      <c r="AE39" s="148">
        <f>(AD39*'ADC''s, Trout'!Q39)/100</f>
        <v>0.30467866506378455</v>
      </c>
      <c r="AF39" s="38">
        <v>1.2824932708163317</v>
      </c>
      <c r="AG39" s="38">
        <f>(AF39*'ADC''s, Trout'!R39)/100</f>
        <v>1.0341849083084633</v>
      </c>
      <c r="AH39" s="156">
        <v>0.50222005394992486</v>
      </c>
      <c r="AI39" s="148">
        <f>(AH39*'ADC''s, Trout'!S39)/100</f>
        <v>0.47679210726532417</v>
      </c>
      <c r="AJ39" s="38">
        <v>0.39229205930852495</v>
      </c>
      <c r="AK39" s="51">
        <f>(AJ39*'ADC''s, Trout'!T39)/100</f>
        <v>0.37719000739067121</v>
      </c>
      <c r="AL39" s="156">
        <v>0.3146958277969486</v>
      </c>
      <c r="AM39" s="148">
        <f>(AL39*'ADC''s, Trout'!U39)/100</f>
        <v>0.3146958277969486</v>
      </c>
      <c r="AN39" s="156">
        <v>0.57011675652255422</v>
      </c>
      <c r="AO39" s="39">
        <f>(AN39*'ADC''s, Trout'!V39)/100</f>
        <v>0.46722631534944886</v>
      </c>
      <c r="AP39" s="156">
        <f t="shared" si="0"/>
        <v>10.520755722444562</v>
      </c>
      <c r="AQ39" s="148">
        <f>(AP39*'ADC''s, Trout'!W39)/100</f>
        <v>9.0374755310284982</v>
      </c>
      <c r="AR39" s="258" t="s">
        <v>212</v>
      </c>
      <c r="AS39" s="23" t="s">
        <v>212</v>
      </c>
      <c r="AT39" s="23" t="s">
        <v>212</v>
      </c>
      <c r="AU39" s="23" t="s">
        <v>212</v>
      </c>
      <c r="AV39" s="23" t="s">
        <v>212</v>
      </c>
      <c r="AW39" s="23" t="s">
        <v>212</v>
      </c>
      <c r="AX39" s="23" t="s">
        <v>212</v>
      </c>
      <c r="AY39" s="23" t="s">
        <v>212</v>
      </c>
      <c r="AZ39" s="163">
        <v>0.34582489874348699</v>
      </c>
      <c r="BA39" s="167">
        <f>(AZ39*'ADC''s, Trout'!X39)/100</f>
        <v>0.222813233283152</v>
      </c>
      <c r="BB39" s="23" t="s">
        <v>212</v>
      </c>
      <c r="BC39" s="23" t="s">
        <v>212</v>
      </c>
      <c r="BD39" s="23" t="s">
        <v>212</v>
      </c>
      <c r="BE39" s="306" t="s">
        <v>212</v>
      </c>
      <c r="BF39" s="78">
        <v>59.4</v>
      </c>
      <c r="BG39" s="353">
        <f>(BF39*'[1]ADC''s, Trout'!AB39)/100</f>
        <v>29.105999999999998</v>
      </c>
      <c r="BH39" s="354">
        <v>16.8</v>
      </c>
      <c r="BI39" s="353">
        <f>(BH39*'[1]ADC''s, Trout'!AC39)/100</f>
        <v>4.7040000000000006</v>
      </c>
      <c r="BJ39" s="354">
        <v>42.6</v>
      </c>
      <c r="BK39" s="353">
        <f>(BJ39*'[1]ADC''s, Trout'!AD39)/100</f>
        <v>20.022000000000002</v>
      </c>
    </row>
    <row r="40" spans="1:63">
      <c r="A40" s="43" t="s">
        <v>184</v>
      </c>
      <c r="B40" s="38">
        <v>92.532377270312622</v>
      </c>
      <c r="C40" s="38">
        <f>(B40*'ADC''s, Trout'!C40)/100</f>
        <v>5.900637013413303</v>
      </c>
      <c r="D40" s="197" t="s">
        <v>212</v>
      </c>
      <c r="E40" s="195" t="s">
        <v>212</v>
      </c>
      <c r="F40" s="156">
        <v>12.48265779042702</v>
      </c>
      <c r="G40" s="148">
        <f>(F40*'ADC''s, Trout'!E40)/100</f>
        <v>8.8118704404023589</v>
      </c>
      <c r="H40" s="85">
        <v>4357.1235484657927</v>
      </c>
      <c r="I40" s="207">
        <f>(H40*'ADC''s, Trout'!F40)/100</f>
        <v>730.95353854278937</v>
      </c>
      <c r="J40" s="38">
        <v>0.45821799083512021</v>
      </c>
      <c r="K40" s="51">
        <f>(J40*'ADC''s, Trout'!G40)/100</f>
        <v>0.4824690057592903</v>
      </c>
      <c r="L40" s="156">
        <v>0.58682162505535451</v>
      </c>
      <c r="M40" s="148">
        <f>(L40*'ADC''s, Trout'!H40)/100</f>
        <v>0.56316806891243665</v>
      </c>
      <c r="N40" s="38">
        <v>0.64842168514403808</v>
      </c>
      <c r="O40" s="51">
        <f>(N40*'ADC''s, Trout'!I40)/100</f>
        <v>0.50089623382352233</v>
      </c>
      <c r="P40" s="156">
        <v>2.1592442115296469</v>
      </c>
      <c r="Q40" s="148">
        <f>(P40*'ADC''s, Trout'!J40)/100</f>
        <v>2.156791917990653</v>
      </c>
      <c r="R40" s="156">
        <v>0.4128284728750376</v>
      </c>
      <c r="S40" s="148">
        <f>(R40*'ADC''s, Trout'!K40)/100</f>
        <v>0.30935360524790573</v>
      </c>
      <c r="T40" s="38">
        <v>0.22370548137469312</v>
      </c>
      <c r="U40" s="51">
        <f>(T40*'ADC''s, Trout'!L40)/100</f>
        <v>0.17720220312666007</v>
      </c>
      <c r="V40" s="156">
        <v>0.34582489874348699</v>
      </c>
      <c r="W40" s="148">
        <f>(V40*'ADC''s, Trout'!M40)/100</f>
        <v>0.3332000791696435</v>
      </c>
      <c r="X40" s="38">
        <v>0.67651995816694643</v>
      </c>
      <c r="Y40" s="51">
        <f>(X40*'ADC''s, Trout'!N40)/100</f>
        <v>0.67651995816694632</v>
      </c>
      <c r="Z40" s="156">
        <v>0.38581090266070261</v>
      </c>
      <c r="AA40" s="148">
        <f>(Z40*'ADC''s, Trout'!O40)/100</f>
        <v>0.39214568588355969</v>
      </c>
      <c r="AB40" s="38">
        <v>0.11995801175164705</v>
      </c>
      <c r="AC40" s="51">
        <f>(AB40*'ADC''s, Trout'!P40)/100</f>
        <v>9.7601024876061565E-2</v>
      </c>
      <c r="AD40" s="156">
        <v>0.48955837228374877</v>
      </c>
      <c r="AE40" s="148">
        <f>(AD40*'ADC''s, Trout'!Q40)/100</f>
        <v>0.37466894617923169</v>
      </c>
      <c r="AF40" s="38">
        <v>0.97155182490748371</v>
      </c>
      <c r="AG40" s="38">
        <f>(AF40*'ADC''s, Trout'!R40)/100</f>
        <v>0.89265356374017413</v>
      </c>
      <c r="AH40" s="156">
        <v>0.46470220768656062</v>
      </c>
      <c r="AI40" s="148">
        <f>(AH40*'ADC''s, Trout'!S40)/100</f>
        <v>0.43571180104209922</v>
      </c>
      <c r="AJ40" s="38">
        <v>0.38256879423498247</v>
      </c>
      <c r="AK40" s="51">
        <f>(AJ40*'ADC''s, Trout'!T40)/100</f>
        <v>0.32653587963968866</v>
      </c>
      <c r="AL40" s="156">
        <v>0.27557921618621617</v>
      </c>
      <c r="AM40" s="148">
        <f>(AL40*'ADC''s, Trout'!U40)/100</f>
        <v>0.12292047801035789</v>
      </c>
      <c r="AN40" s="156">
        <v>0.50252680598662958</v>
      </c>
      <c r="AO40" s="39">
        <f>(AN40*'ADC''s, Trout'!V40)/100</f>
        <v>0.42412244369219609</v>
      </c>
      <c r="AP40" s="156">
        <f t="shared" si="0"/>
        <v>9.1038404594222939</v>
      </c>
      <c r="AQ40" s="148">
        <f>(AP40*'ADC''s, Trout'!W40)/100</f>
        <v>8.1897121302161864</v>
      </c>
      <c r="AR40" s="258" t="s">
        <v>212</v>
      </c>
      <c r="AS40" s="23" t="s">
        <v>212</v>
      </c>
      <c r="AT40" s="23" t="s">
        <v>212</v>
      </c>
      <c r="AU40" s="23" t="s">
        <v>212</v>
      </c>
      <c r="AV40" s="23" t="s">
        <v>212</v>
      </c>
      <c r="AW40" s="23" t="s">
        <v>212</v>
      </c>
      <c r="AX40" s="23" t="s">
        <v>212</v>
      </c>
      <c r="AY40" s="23" t="s">
        <v>212</v>
      </c>
      <c r="AZ40" s="163">
        <v>0.37882950939808269</v>
      </c>
      <c r="BA40" s="167">
        <f>(AZ40*'ADC''s, Trout'!X40)/100</f>
        <v>0.18809963180341771</v>
      </c>
      <c r="BB40" s="23" t="s">
        <v>212</v>
      </c>
      <c r="BC40" s="23" t="s">
        <v>212</v>
      </c>
      <c r="BD40" s="23" t="s">
        <v>212</v>
      </c>
      <c r="BE40" s="306" t="s">
        <v>212</v>
      </c>
      <c r="BF40" s="78">
        <v>57.7</v>
      </c>
      <c r="BG40" s="353">
        <f>(BF40*'[1]ADC''s, Trout'!AB40)/100</f>
        <v>30.581000000000003</v>
      </c>
      <c r="BH40" s="77">
        <v>15.1</v>
      </c>
      <c r="BI40" s="353">
        <f>(BH40*'[1]ADC''s, Trout'!AC40)/100</f>
        <v>2.4159999999999999</v>
      </c>
      <c r="BJ40" s="77">
        <v>42.6</v>
      </c>
      <c r="BK40" s="353">
        <f>(BJ40*'[1]ADC''s, Trout'!AD40)/100</f>
        <v>23.43</v>
      </c>
    </row>
    <row r="41" spans="1:63">
      <c r="A41" s="43" t="s">
        <v>185</v>
      </c>
      <c r="B41" s="38">
        <v>92.389845911452483</v>
      </c>
      <c r="C41" s="38">
        <f>(B41*'ADC''s, Trout'!C41)/100</f>
        <v>4.3282693702516619</v>
      </c>
      <c r="D41" s="197" t="s">
        <v>212</v>
      </c>
      <c r="E41" s="195" t="s">
        <v>212</v>
      </c>
      <c r="F41" s="156">
        <v>15.96062841595465</v>
      </c>
      <c r="G41" s="148">
        <f>(F41*'ADC''s, Trout'!E41)/100</f>
        <v>8.3323241927085494</v>
      </c>
      <c r="H41" s="85">
        <v>4430.1946384052071</v>
      </c>
      <c r="I41" s="207">
        <f>(H41*'ADC''s, Trout'!F41)/100</f>
        <v>775.10483768885786</v>
      </c>
      <c r="J41" s="38">
        <v>0.61045669514433887</v>
      </c>
      <c r="K41" s="51">
        <f>(J41*'ADC''s, Trout'!G41)/100</f>
        <v>0.4092421547840282</v>
      </c>
      <c r="L41" s="156">
        <v>0.87563735172299695</v>
      </c>
      <c r="M41" s="148">
        <f>(L41*'ADC''s, Trout'!H41)/100</f>
        <v>0.8224268513424734</v>
      </c>
      <c r="N41" s="38">
        <v>0.89620238223317839</v>
      </c>
      <c r="O41" s="51">
        <f>(N41*'ADC''s, Trout'!I41)/100</f>
        <v>0.61792925441218705</v>
      </c>
      <c r="P41" s="156">
        <v>3.2362863802864781</v>
      </c>
      <c r="Q41" s="148">
        <f>(P41*'ADC''s, Trout'!J41)/100</f>
        <v>2.5887233466588158</v>
      </c>
      <c r="R41" s="156">
        <v>0.55633819380175575</v>
      </c>
      <c r="S41" s="148">
        <f>(R41*'ADC''s, Trout'!K41)/100</f>
        <v>0.44844862615061487</v>
      </c>
      <c r="T41" s="38">
        <v>0.31064019770642776</v>
      </c>
      <c r="U41" s="51">
        <f>(T41*'ADC''s, Trout'!L41)/100</f>
        <v>0.2579509663340066</v>
      </c>
      <c r="V41" s="156">
        <v>0.4903136221638042</v>
      </c>
      <c r="W41" s="148">
        <f>(V41*'ADC''s, Trout'!M41)/100</f>
        <v>0.36853859540097189</v>
      </c>
      <c r="X41" s="38">
        <v>0.92434400293132168</v>
      </c>
      <c r="Y41" s="51">
        <f>(X41*'ADC''s, Trout'!N41)/100</f>
        <v>0.72957333668216084</v>
      </c>
      <c r="Z41" s="156">
        <v>0.51953761288879907</v>
      </c>
      <c r="AA41" s="148">
        <f>(Z41*'ADC''s, Trout'!O41)/100</f>
        <v>0.51011348287000224</v>
      </c>
      <c r="AB41" s="38">
        <v>0.1785910544305247</v>
      </c>
      <c r="AC41" s="51">
        <f>(AB41*'ADC''s, Trout'!P41)/100</f>
        <v>0.11178267635453705</v>
      </c>
      <c r="AD41" s="156">
        <v>0.72410554796376381</v>
      </c>
      <c r="AE41" s="148">
        <f>(AD41*'ADC''s, Trout'!Q41)/100</f>
        <v>0.59017653216396626</v>
      </c>
      <c r="AF41" s="38">
        <v>1.4644466463303025</v>
      </c>
      <c r="AG41" s="38">
        <f>(AF41*'ADC''s, Trout'!R41)/100</f>
        <v>1.0609875233951866</v>
      </c>
      <c r="AH41" s="156">
        <v>0.62669224554711389</v>
      </c>
      <c r="AI41" s="148">
        <f>(AH41*'ADC''s, Trout'!S41)/100</f>
        <v>0.50200891088365251</v>
      </c>
      <c r="AJ41" s="38">
        <v>0.5141257627545408</v>
      </c>
      <c r="AK41" s="51">
        <f>(AJ41*'ADC''s, Trout'!T41)/100</f>
        <v>0.41019798542259894</v>
      </c>
      <c r="AL41" s="156">
        <v>0.41021824017678099</v>
      </c>
      <c r="AM41" s="148">
        <f>(AL41*'ADC''s, Trout'!U41)/100</f>
        <v>0.3120696452488721</v>
      </c>
      <c r="AN41" s="156">
        <v>0.68838733707765887</v>
      </c>
      <c r="AO41" s="39">
        <f>(AN41*'ADC''s, Trout'!V41)/100</f>
        <v>0.52824497526454262</v>
      </c>
      <c r="AP41" s="156">
        <f t="shared" si="0"/>
        <v>13.026323273159784</v>
      </c>
      <c r="AQ41" s="148">
        <f>(AP41*'ADC''s, Trout'!W41)/100</f>
        <v>10.25601516631639</v>
      </c>
      <c r="AR41" s="258" t="s">
        <v>212</v>
      </c>
      <c r="AS41" s="23" t="s">
        <v>212</v>
      </c>
      <c r="AT41" s="23" t="s">
        <v>212</v>
      </c>
      <c r="AU41" s="23" t="s">
        <v>212</v>
      </c>
      <c r="AV41" s="23" t="s">
        <v>212</v>
      </c>
      <c r="AW41" s="23" t="s">
        <v>212</v>
      </c>
      <c r="AX41" s="23" t="s">
        <v>212</v>
      </c>
      <c r="AY41" s="23" t="s">
        <v>212</v>
      </c>
      <c r="AZ41" s="163">
        <v>0.37699546532616734</v>
      </c>
      <c r="BA41" s="167">
        <f>(AZ41*'ADC''s, Trout'!X41)/100</f>
        <v>0.20272282396838481</v>
      </c>
      <c r="BB41" s="23" t="s">
        <v>212</v>
      </c>
      <c r="BC41" s="23" t="s">
        <v>212</v>
      </c>
      <c r="BD41" s="23" t="s">
        <v>212</v>
      </c>
      <c r="BE41" s="306" t="s">
        <v>212</v>
      </c>
      <c r="BF41" s="78">
        <v>50.4</v>
      </c>
      <c r="BG41" s="353">
        <f>(BF41*'[1]ADC''s, Trout'!AB41)/100</f>
        <v>27.215999999999998</v>
      </c>
      <c r="BH41" s="77">
        <v>2.1</v>
      </c>
      <c r="BI41" s="353">
        <f>(BH41*'[1]ADC''s, Trout'!AC41)/100</f>
        <v>0</v>
      </c>
      <c r="BJ41" s="77">
        <v>48.3</v>
      </c>
      <c r="BK41" s="353">
        <f>(BJ41*'[1]ADC''s, Trout'!AD41)/100</f>
        <v>25.598999999999997</v>
      </c>
    </row>
    <row r="42" spans="1:63">
      <c r="A42" s="43" t="s">
        <v>59</v>
      </c>
      <c r="B42" s="38">
        <v>92.839312986745995</v>
      </c>
      <c r="C42" s="38">
        <f>(B42*'ADC''s, Trout'!C42)/100</f>
        <v>23.97702236379077</v>
      </c>
      <c r="D42" s="197" t="s">
        <v>212</v>
      </c>
      <c r="E42" s="195" t="s">
        <v>212</v>
      </c>
      <c r="F42" s="156">
        <v>18.062929873677611</v>
      </c>
      <c r="G42" s="148">
        <f>(F42*'ADC''s, Trout'!E42)/100</f>
        <v>10.801948451123913</v>
      </c>
      <c r="H42" s="85">
        <v>4429.8582870676064</v>
      </c>
      <c r="I42" s="207">
        <f>(H42*'ADC''s, Trout'!F42)/100</f>
        <v>1610.8697571495886</v>
      </c>
      <c r="J42" s="38">
        <v>0.62042682293677831</v>
      </c>
      <c r="K42" s="51">
        <f>(J42*'ADC''s, Trout'!G42)/100</f>
        <v>0.34752471676255342</v>
      </c>
      <c r="L42" s="156">
        <v>0.85631827124086601</v>
      </c>
      <c r="M42" s="148">
        <f>(L42*'ADC''s, Trout'!H42)/100</f>
        <v>0.80783694074854129</v>
      </c>
      <c r="N42" s="38">
        <v>0.89617207757534645</v>
      </c>
      <c r="O42" s="51">
        <f>(N42*'ADC''s, Trout'!I42)/100</f>
        <v>0.58030743018188213</v>
      </c>
      <c r="P42" s="156">
        <v>3.8604335649399539</v>
      </c>
      <c r="Q42" s="148">
        <f>(P42*'ADC''s, Trout'!J42)/100</f>
        <v>3.1337083833995378</v>
      </c>
      <c r="R42" s="156">
        <v>0.5461048597724768</v>
      </c>
      <c r="S42" s="148">
        <f>(R42*'ADC''s, Trout'!K42)/100</f>
        <v>0.44178511272151155</v>
      </c>
      <c r="T42" s="38">
        <v>0.33175600948702727</v>
      </c>
      <c r="U42" s="51">
        <f>(T42*'ADC''s, Trout'!L42)/100</f>
        <v>0.26792434957618461</v>
      </c>
      <c r="V42" s="156">
        <v>0.53317930096129384</v>
      </c>
      <c r="W42" s="148">
        <f>(V42*'ADC''s, Trout'!M42)/100</f>
        <v>0.40618116689033001</v>
      </c>
      <c r="X42" s="38">
        <v>1.0254276656871752</v>
      </c>
      <c r="Y42" s="51">
        <f>(X42*'ADC''s, Trout'!N42)/100</f>
        <v>0.71184595835855502</v>
      </c>
      <c r="Z42" s="156">
        <v>0.49763401423054099</v>
      </c>
      <c r="AA42" s="148">
        <f>(Z42*'ADC''s, Trout'!O42)/100</f>
        <v>0.48542048109670161</v>
      </c>
      <c r="AB42" s="38">
        <v>0.19496051206867512</v>
      </c>
      <c r="AC42" s="51">
        <f>(AB42*'ADC''s, Trout'!P42)/100</f>
        <v>8.8935203980814059E-2</v>
      </c>
      <c r="AD42" s="156">
        <v>0.82723576391570441</v>
      </c>
      <c r="AE42" s="148">
        <f>(AD42*'ADC''s, Trout'!Q42)/100</f>
        <v>0.52726282522447354</v>
      </c>
      <c r="AF42" s="38">
        <v>1.7729558169339186</v>
      </c>
      <c r="AG42" s="38">
        <f>(AF42*'ADC''s, Trout'!R42)/100</f>
        <v>1.2639771858949735</v>
      </c>
      <c r="AH42" s="156">
        <v>0.68397748709176087</v>
      </c>
      <c r="AI42" s="148">
        <f>(AH42*'ADC''s, Trout'!S42)/100</f>
        <v>0.50934466094944741</v>
      </c>
      <c r="AJ42" s="38">
        <v>0.5461048597724768</v>
      </c>
      <c r="AK42" s="51">
        <f>(AJ42*'ADC''s, Trout'!T42)/100</f>
        <v>0.42554249143165462</v>
      </c>
      <c r="AL42" s="156">
        <v>0.45670307799512849</v>
      </c>
      <c r="AM42" s="148">
        <f>(AL42*'ADC''s, Trout'!U42)/100</f>
        <v>7.8144994908369916E-2</v>
      </c>
      <c r="AN42" s="156">
        <v>0.74968241104860711</v>
      </c>
      <c r="AO42" s="39">
        <f>(AN42*'ADC''s, Trout'!V42)/100</f>
        <v>0.58834882038913106</v>
      </c>
      <c r="AP42" s="156">
        <f t="shared" si="0"/>
        <v>14.39907251565773</v>
      </c>
      <c r="AQ42" s="148">
        <f>(AP42*'ADC''s, Trout'!W42)/100</f>
        <v>10.636004324048283</v>
      </c>
      <c r="AR42" s="258" t="s">
        <v>212</v>
      </c>
      <c r="AS42" s="23" t="s">
        <v>212</v>
      </c>
      <c r="AT42" s="23" t="s">
        <v>212</v>
      </c>
      <c r="AU42" s="23" t="s">
        <v>212</v>
      </c>
      <c r="AV42" s="23" t="s">
        <v>212</v>
      </c>
      <c r="AW42" s="23" t="s">
        <v>212</v>
      </c>
      <c r="AX42" s="23" t="s">
        <v>212</v>
      </c>
      <c r="AY42" s="23" t="s">
        <v>212</v>
      </c>
      <c r="AZ42" s="163">
        <v>0.42607587975471084</v>
      </c>
      <c r="BA42" s="167">
        <f>(AZ42*'ADC''s, Trout'!X42)/100</f>
        <v>0.2936591008472878</v>
      </c>
      <c r="BB42" s="23" t="s">
        <v>212</v>
      </c>
      <c r="BC42" s="23" t="s">
        <v>212</v>
      </c>
      <c r="BD42" s="23" t="s">
        <v>212</v>
      </c>
      <c r="BE42" s="306" t="s">
        <v>212</v>
      </c>
      <c r="BF42" s="78">
        <v>56.5</v>
      </c>
      <c r="BG42" s="353">
        <f>(BF42*'[1]ADC''s, Trout'!AB42)/100</f>
        <v>43.505000000000003</v>
      </c>
      <c r="BH42" s="77">
        <v>3.1</v>
      </c>
      <c r="BI42" s="353">
        <f>(BH42*'[1]ADC''s, Trout'!AC42)/100</f>
        <v>0</v>
      </c>
      <c r="BJ42" s="77">
        <v>53.4</v>
      </c>
      <c r="BK42" s="353">
        <f>(BJ42*'[1]ADC''s, Trout'!AD42)/100</f>
        <v>43.253999999999998</v>
      </c>
    </row>
    <row r="43" spans="1:63">
      <c r="A43" s="43" t="s">
        <v>61</v>
      </c>
      <c r="B43" s="38">
        <v>94.85270359362012</v>
      </c>
      <c r="C43" s="38">
        <f>(B43*'ADC''s, Trout'!C43)/100</f>
        <v>12.168391579391457</v>
      </c>
      <c r="D43" s="197" t="s">
        <v>212</v>
      </c>
      <c r="E43" s="195" t="s">
        <v>212</v>
      </c>
      <c r="F43" s="156">
        <v>16.486614938250241</v>
      </c>
      <c r="G43" s="148">
        <f>(F43*'ADC''s, Trout'!E43)/100</f>
        <v>14.730914382949528</v>
      </c>
      <c r="H43" s="85">
        <v>4313.2666176055955</v>
      </c>
      <c r="I43" s="207">
        <f>(H43*'ADC''s, Trout'!F43)/100</f>
        <v>952.44710705802891</v>
      </c>
      <c r="J43" s="38">
        <v>0.53873003155428278</v>
      </c>
      <c r="K43" s="51">
        <f>(J43*'ADC''s, Trout'!G43)/100</f>
        <v>0.53873003155428278</v>
      </c>
      <c r="L43" s="156">
        <v>0.79175392112967979</v>
      </c>
      <c r="M43" s="148">
        <f>(L43*'ADC''s, Trout'!H43)/100</f>
        <v>0.79175392112967979</v>
      </c>
      <c r="N43" s="38">
        <v>0.77488566182465324</v>
      </c>
      <c r="O43" s="51">
        <f>(N43*'ADC''s, Trout'!I43)/100</f>
        <v>0.77488566182465324</v>
      </c>
      <c r="P43" s="156">
        <v>3.7964126098375188</v>
      </c>
      <c r="Q43" s="148">
        <f>(P43*'ADC''s, Trout'!J43)/100</f>
        <v>3.7964126098375188</v>
      </c>
      <c r="R43" s="156">
        <v>0.53873003155428278</v>
      </c>
      <c r="S43" s="148">
        <f>(R43*'ADC''s, Trout'!K43)/100</f>
        <v>0.52203699006492099</v>
      </c>
      <c r="T43" s="38">
        <v>0.30257440128391222</v>
      </c>
      <c r="U43" s="51">
        <f>(T43*'ADC''s, Trout'!L43)/100</f>
        <v>0.30177120441199007</v>
      </c>
      <c r="V43" s="156">
        <v>0.46809419571448446</v>
      </c>
      <c r="W43" s="148">
        <f>(V43*'ADC''s, Trout'!M43)/100</f>
        <v>0.46809419571448446</v>
      </c>
      <c r="X43" s="38">
        <v>0.92669999556989147</v>
      </c>
      <c r="Y43" s="51">
        <f>(X43*'ADC''s, Trout'!N43)/100</f>
        <v>0.92669999556989135</v>
      </c>
      <c r="Z43" s="156">
        <v>0.40272969090750688</v>
      </c>
      <c r="AA43" s="148">
        <f>(Z43*'ADC''s, Trout'!O43)/100</f>
        <v>0.40272969090750688</v>
      </c>
      <c r="AB43" s="38">
        <v>0.19609351442093267</v>
      </c>
      <c r="AC43" s="51">
        <f>(AB43*'ADC''s, Trout'!P43)/100</f>
        <v>0.18576475728410183</v>
      </c>
      <c r="AD43" s="156">
        <v>0.63361399014505659</v>
      </c>
      <c r="AE43" s="148">
        <f>(AD43*'ADC''s, Trout'!Q43)/100</f>
        <v>0.63361399014505659</v>
      </c>
      <c r="AF43" s="38">
        <v>1.333646751303655</v>
      </c>
      <c r="AG43" s="38">
        <f>(AF43*'ADC''s, Trout'!R43)/100</f>
        <v>1.333646751303655</v>
      </c>
      <c r="AH43" s="156">
        <v>0.69686996253890587</v>
      </c>
      <c r="AI43" s="148">
        <f>(AH43*'ADC''s, Trout'!S43)/100</f>
        <v>0.69686996253890587</v>
      </c>
      <c r="AJ43" s="38">
        <v>0.45649726744227875</v>
      </c>
      <c r="AK43" s="51">
        <f>(AJ43*'ADC''s, Trout'!T43)/100</f>
        <v>0.45649726744227875</v>
      </c>
      <c r="AL43" s="156">
        <v>0.41432661917971259</v>
      </c>
      <c r="AM43" s="148">
        <f>(AL43*'ADC''s, Trout'!U43)/100</f>
        <v>0.3126339295172208</v>
      </c>
      <c r="AN43" s="156">
        <v>0.60620306877438856</v>
      </c>
      <c r="AO43" s="39">
        <f>(AN43*'ADC''s, Trout'!V43)/100</f>
        <v>0.60620306877438856</v>
      </c>
      <c r="AP43" s="156">
        <f t="shared" si="0"/>
        <v>12.87786171318114</v>
      </c>
      <c r="AQ43" s="148">
        <f>(AP43*'ADC''s, Trout'!W43)/100</f>
        <v>12.798466876141896</v>
      </c>
      <c r="AR43" s="258" t="s">
        <v>212</v>
      </c>
      <c r="AS43" s="23" t="s">
        <v>212</v>
      </c>
      <c r="AT43" s="23" t="s">
        <v>212</v>
      </c>
      <c r="AU43" s="23" t="s">
        <v>212</v>
      </c>
      <c r="AV43" s="23" t="s">
        <v>212</v>
      </c>
      <c r="AW43" s="23" t="s">
        <v>212</v>
      </c>
      <c r="AX43" s="23" t="s">
        <v>212</v>
      </c>
      <c r="AY43" s="23" t="s">
        <v>212</v>
      </c>
      <c r="AZ43" s="163">
        <v>0.42</v>
      </c>
      <c r="BA43" s="167">
        <f>(AZ43*'ADC''s, Trout'!X43)/100</f>
        <v>6.2230199366879804E-2</v>
      </c>
      <c r="BB43" s="23" t="s">
        <v>212</v>
      </c>
      <c r="BC43" s="23" t="s">
        <v>212</v>
      </c>
      <c r="BD43" s="23" t="s">
        <v>212</v>
      </c>
      <c r="BE43" s="306" t="s">
        <v>212</v>
      </c>
      <c r="BF43" s="78">
        <v>60.7</v>
      </c>
      <c r="BG43" s="353">
        <f>(BF43*'[1]ADC''s, Trout'!AB43)/100</f>
        <v>30.957000000000004</v>
      </c>
      <c r="BH43" s="77">
        <v>12.5</v>
      </c>
      <c r="BI43" s="353">
        <f>(BH43*'[1]ADC''s, Trout'!AC43)/100</f>
        <v>0</v>
      </c>
      <c r="BJ43" s="77">
        <v>48.2</v>
      </c>
      <c r="BK43" s="353">
        <f>(BJ43*'[1]ADC''s, Trout'!AD43)/100</f>
        <v>29.402000000000001</v>
      </c>
    </row>
    <row r="44" spans="1:63">
      <c r="A44" s="43" t="s">
        <v>60</v>
      </c>
      <c r="B44" s="38">
        <v>91.532991781773831</v>
      </c>
      <c r="C44" s="38">
        <f>(B44*'ADC''s, Trout'!C44)/100</f>
        <v>8.5551937885730727</v>
      </c>
      <c r="D44" s="197" t="s">
        <v>212</v>
      </c>
      <c r="E44" s="195" t="s">
        <v>212</v>
      </c>
      <c r="F44" s="156">
        <v>15.785565093784145</v>
      </c>
      <c r="G44" s="148">
        <f>(F44*'ADC''s, Trout'!E44)/100</f>
        <v>3.6512821361694408</v>
      </c>
      <c r="H44" s="85">
        <v>4369.0803962078253</v>
      </c>
      <c r="I44" s="207">
        <f>(H44*'ADC''s, Trout'!F44)/100</f>
        <v>484.26813697807569</v>
      </c>
      <c r="J44" s="38">
        <v>0.59869123616815778</v>
      </c>
      <c r="K44" s="51">
        <f>(J44*'ADC''s, Trout'!G44)/100</f>
        <v>0</v>
      </c>
      <c r="L44" s="156">
        <v>0.80408166025504402</v>
      </c>
      <c r="M44" s="148">
        <f>(L44*'ADC''s, Trout'!H44)/100</f>
        <v>0.63225050689970219</v>
      </c>
      <c r="N44" s="38">
        <v>0.84122673695160854</v>
      </c>
      <c r="O44" s="51">
        <f>(N44*'ADC''s, Trout'!I44)/100</f>
        <v>0.16764793328611458</v>
      </c>
      <c r="P44" s="156">
        <v>3.7068601538659838</v>
      </c>
      <c r="Q44" s="148">
        <f>(P44*'ADC''s, Trout'!J44)/100</f>
        <v>1.9059752159387786</v>
      </c>
      <c r="R44" s="156">
        <v>0.52877109179815396</v>
      </c>
      <c r="S44" s="148">
        <f>(R44*'ADC''s, Trout'!K44)/100</f>
        <v>0.33150921558322177</v>
      </c>
      <c r="T44" s="38">
        <v>0.30590063161876679</v>
      </c>
      <c r="U44" s="51">
        <f>(T44*'ADC''s, Trout'!L44)/100</f>
        <v>0.20367615606917147</v>
      </c>
      <c r="V44" s="156">
        <v>0.51019855344987164</v>
      </c>
      <c r="W44" s="148">
        <f>(V44*'ADC''s, Trout'!M44)/100</f>
        <v>8.6554074094347747E-2</v>
      </c>
      <c r="X44" s="38">
        <v>0.95921698057599003</v>
      </c>
      <c r="Y44" s="51">
        <f>(X44*'ADC''s, Trout'!N44)/100</f>
        <v>0</v>
      </c>
      <c r="Z44" s="156">
        <v>0.48616350382268286</v>
      </c>
      <c r="AA44" s="148">
        <f>(Z44*'ADC''s, Trout'!O44)/100</f>
        <v>0.47920987642855217</v>
      </c>
      <c r="AB44" s="38">
        <v>0.18354037897126005</v>
      </c>
      <c r="AC44" s="51">
        <f>(AB44*'ADC''s, Trout'!P44)/100</f>
        <v>4.5174698380128341E-3</v>
      </c>
      <c r="AD44" s="156">
        <v>0.76912158807004205</v>
      </c>
      <c r="AE44" s="148">
        <f>(AD44*'ADC''s, Trout'!Q44)/100</f>
        <v>0</v>
      </c>
      <c r="AF44" s="38">
        <v>1.7064885235304059</v>
      </c>
      <c r="AG44" s="38">
        <f>(AF44*'ADC''s, Trout'!R44)/100</f>
        <v>0.56202951602596796</v>
      </c>
      <c r="AH44" s="156">
        <v>0.65440885121300452</v>
      </c>
      <c r="AI44" s="148">
        <f>(AH44*'ADC''s, Trout'!S44)/100</f>
        <v>0.1983836831479989</v>
      </c>
      <c r="AJ44" s="38">
        <v>0.51129105570565303</v>
      </c>
      <c r="AK44" s="51">
        <f>(AJ44*'ADC''s, Trout'!T44)/100</f>
        <v>0.20547159277432533</v>
      </c>
      <c r="AL44" s="156">
        <v>0.43044588877783607</v>
      </c>
      <c r="AM44" s="148">
        <f>(AL44*'ADC''s, Trout'!U44)/100</f>
        <v>0.39035873983829011</v>
      </c>
      <c r="AN44" s="156">
        <v>0.71886648430410183</v>
      </c>
      <c r="AO44" s="39">
        <f>(AN44*'ADC''s, Trout'!V44)/100</f>
        <v>0.3031360378622181</v>
      </c>
      <c r="AP44" s="156">
        <f t="shared" si="0"/>
        <v>13.715273319078563</v>
      </c>
      <c r="AQ44" s="148">
        <f>(AP44*'ADC''s, Trout'!W44)/100</f>
        <v>4.9050299387250229</v>
      </c>
      <c r="AR44" s="258" t="s">
        <v>212</v>
      </c>
      <c r="AS44" s="23" t="s">
        <v>212</v>
      </c>
      <c r="AT44" s="23" t="s">
        <v>212</v>
      </c>
      <c r="AU44" s="23" t="s">
        <v>212</v>
      </c>
      <c r="AV44" s="23" t="s">
        <v>212</v>
      </c>
      <c r="AW44" s="23" t="s">
        <v>212</v>
      </c>
      <c r="AX44" s="23" t="s">
        <v>212</v>
      </c>
      <c r="AY44" s="23" t="s">
        <v>212</v>
      </c>
      <c r="AZ44" s="163">
        <v>0.43</v>
      </c>
      <c r="BA44" s="167">
        <f>(AZ44*'ADC''s, Trout'!X44)/100</f>
        <v>0.20661431668445979</v>
      </c>
      <c r="BB44" s="23" t="s">
        <v>212</v>
      </c>
      <c r="BC44" s="23" t="s">
        <v>212</v>
      </c>
      <c r="BD44" s="23" t="s">
        <v>212</v>
      </c>
      <c r="BE44" s="306" t="s">
        <v>212</v>
      </c>
      <c r="BF44" s="78">
        <v>57.2</v>
      </c>
      <c r="BG44" s="353">
        <f>(BF44*'[1]ADC''s, Trout'!AB44)/100</f>
        <v>37.752000000000002</v>
      </c>
      <c r="BH44" s="77">
        <v>3.2</v>
      </c>
      <c r="BI44" s="353">
        <f>(BH44*'[1]ADC''s, Trout'!AC44)/100</f>
        <v>0</v>
      </c>
      <c r="BJ44" s="356">
        <v>54</v>
      </c>
      <c r="BK44" s="353">
        <f>(BJ44*'[1]ADC''s, Trout'!AD44)/100</f>
        <v>36.72</v>
      </c>
    </row>
    <row r="45" spans="1:63" s="19" customFormat="1">
      <c r="A45" s="43"/>
      <c r="B45" s="38"/>
      <c r="C45" s="38"/>
      <c r="D45" s="135"/>
      <c r="E45" s="135"/>
      <c r="F45" s="38"/>
      <c r="G45" s="39"/>
      <c r="H45" s="85"/>
      <c r="I45" s="26"/>
      <c r="J45" s="38"/>
      <c r="K45" s="39"/>
      <c r="L45" s="38"/>
      <c r="M45" s="39"/>
      <c r="N45" s="38"/>
      <c r="O45" s="39"/>
      <c r="P45" s="38"/>
      <c r="Q45" s="39"/>
      <c r="R45" s="38"/>
      <c r="S45" s="39"/>
      <c r="T45" s="38"/>
      <c r="U45" s="39"/>
      <c r="V45" s="38"/>
      <c r="W45" s="39"/>
      <c r="X45" s="38"/>
      <c r="Y45" s="39"/>
      <c r="Z45" s="38"/>
      <c r="AA45" s="39"/>
      <c r="AB45" s="38"/>
      <c r="AC45" s="39"/>
      <c r="AD45" s="38"/>
      <c r="AE45" s="39"/>
      <c r="AF45" s="38"/>
      <c r="AG45" s="38"/>
      <c r="AH45" s="38"/>
      <c r="AI45" s="39"/>
      <c r="AJ45" s="38"/>
      <c r="AK45" s="39"/>
      <c r="AL45" s="38"/>
      <c r="AM45" s="39"/>
      <c r="AN45" s="38"/>
      <c r="AO45" s="39"/>
      <c r="AP45" s="26"/>
      <c r="AQ45" s="39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63" s="19" customFormat="1">
      <c r="A46" s="43"/>
      <c r="F46" s="172"/>
      <c r="G46" s="39"/>
      <c r="H46" s="57"/>
      <c r="I46" s="26"/>
      <c r="J46" s="153"/>
      <c r="K46" s="39"/>
      <c r="L46" s="153"/>
      <c r="M46" s="39"/>
      <c r="N46" s="153"/>
      <c r="O46" s="39"/>
      <c r="P46" s="38"/>
      <c r="Q46" s="39"/>
      <c r="R46" s="153"/>
      <c r="S46" s="39"/>
      <c r="T46" s="153"/>
      <c r="U46" s="39"/>
      <c r="V46" s="153"/>
      <c r="W46" s="39"/>
      <c r="X46" s="153"/>
      <c r="Y46" s="39"/>
      <c r="Z46" s="153"/>
      <c r="AA46" s="39"/>
      <c r="AB46" s="153"/>
      <c r="AC46" s="39"/>
      <c r="AD46" s="153"/>
      <c r="AE46" s="39"/>
      <c r="AF46" s="153"/>
      <c r="AG46" s="153"/>
      <c r="AH46" s="153"/>
      <c r="AI46" s="39"/>
      <c r="AJ46" s="153"/>
      <c r="AK46" s="39"/>
      <c r="AL46" s="153"/>
      <c r="AM46" s="39"/>
      <c r="AN46" s="153"/>
      <c r="AO46" s="39"/>
      <c r="AP46" s="26"/>
      <c r="AQ46" s="39"/>
      <c r="AR46" s="24"/>
      <c r="AS46" s="20"/>
      <c r="AT46" s="38"/>
      <c r="AU46" s="30"/>
      <c r="AW46" s="24"/>
      <c r="AX46" s="38"/>
      <c r="AY46" s="153"/>
      <c r="AZ46" s="38"/>
      <c r="BA46" s="38"/>
      <c r="BB46" s="20"/>
      <c r="BC46" s="24"/>
      <c r="BD46" s="20"/>
      <c r="BE46" s="20"/>
    </row>
    <row r="47" spans="1:63" ht="18.75">
      <c r="A47" s="43"/>
      <c r="B47" s="91"/>
      <c r="C47" s="91"/>
      <c r="D47" s="105" t="s">
        <v>214</v>
      </c>
      <c r="E47" s="105"/>
      <c r="F47" s="143"/>
      <c r="G47" s="143"/>
      <c r="H47" s="91"/>
      <c r="I47" s="91"/>
      <c r="J47" s="154"/>
      <c r="K47" s="90"/>
      <c r="L47" s="154"/>
      <c r="M47" s="155"/>
      <c r="N47" s="90"/>
      <c r="O47" s="90"/>
      <c r="P47" s="154"/>
      <c r="Q47" s="155"/>
      <c r="R47" s="154"/>
      <c r="S47" s="155"/>
      <c r="T47" s="90"/>
      <c r="U47" s="90"/>
      <c r="V47" s="154"/>
      <c r="W47" s="155"/>
      <c r="X47" s="106" t="s">
        <v>218</v>
      </c>
      <c r="Y47" s="90"/>
      <c r="Z47" s="154"/>
      <c r="AA47" s="155"/>
      <c r="AB47" s="90"/>
      <c r="AC47" s="90"/>
      <c r="AD47" s="154"/>
      <c r="AE47" s="155"/>
      <c r="AF47" s="90"/>
      <c r="AG47" s="90"/>
      <c r="AH47" s="154"/>
      <c r="AI47" s="155"/>
      <c r="AJ47" s="90"/>
      <c r="AK47" s="90"/>
      <c r="AL47" s="154"/>
      <c r="AM47" s="155"/>
      <c r="AN47" s="154"/>
      <c r="AO47" s="260"/>
      <c r="AP47" s="144"/>
      <c r="AQ47" s="145"/>
      <c r="AR47" s="256"/>
      <c r="AS47" s="247"/>
      <c r="AT47" s="247"/>
      <c r="AU47" s="247"/>
      <c r="AV47" s="298"/>
      <c r="AW47" s="299" t="s">
        <v>239</v>
      </c>
      <c r="AX47" s="247"/>
      <c r="AY47" s="247"/>
      <c r="AZ47" s="247"/>
      <c r="BA47" s="247"/>
      <c r="BB47" s="247"/>
      <c r="BC47" s="247"/>
      <c r="BD47" s="247"/>
      <c r="BE47" s="300"/>
    </row>
    <row r="48" spans="1:63">
      <c r="A48" s="43"/>
      <c r="B48" s="455" t="s">
        <v>240</v>
      </c>
      <c r="C48" s="455"/>
      <c r="D48" s="452" t="s">
        <v>1</v>
      </c>
      <c r="E48" s="453"/>
      <c r="F48" s="452" t="s">
        <v>236</v>
      </c>
      <c r="G48" s="453"/>
      <c r="H48" s="455" t="s">
        <v>235</v>
      </c>
      <c r="I48" s="455"/>
      <c r="J48" s="449" t="s">
        <v>221</v>
      </c>
      <c r="K48" s="449"/>
      <c r="L48" s="446" t="s">
        <v>222</v>
      </c>
      <c r="M48" s="451"/>
      <c r="N48" s="449" t="s">
        <v>237</v>
      </c>
      <c r="O48" s="450"/>
      <c r="P48" s="446" t="s">
        <v>223</v>
      </c>
      <c r="Q48" s="451"/>
      <c r="R48" s="446" t="s">
        <v>224</v>
      </c>
      <c r="S48" s="451"/>
      <c r="T48" s="449" t="s">
        <v>225</v>
      </c>
      <c r="U48" s="450"/>
      <c r="V48" s="446" t="s">
        <v>226</v>
      </c>
      <c r="W48" s="451"/>
      <c r="X48" s="449" t="s">
        <v>227</v>
      </c>
      <c r="Y48" s="450"/>
      <c r="Z48" s="446" t="s">
        <v>219</v>
      </c>
      <c r="AA48" s="451"/>
      <c r="AB48" s="449" t="s">
        <v>228</v>
      </c>
      <c r="AC48" s="450"/>
      <c r="AD48" s="446" t="s">
        <v>229</v>
      </c>
      <c r="AE48" s="448"/>
      <c r="AF48" s="449" t="s">
        <v>230</v>
      </c>
      <c r="AG48" s="449"/>
      <c r="AH48" s="446" t="s">
        <v>231</v>
      </c>
      <c r="AI48" s="448"/>
      <c r="AJ48" s="449" t="s">
        <v>232</v>
      </c>
      <c r="AK48" s="449"/>
      <c r="AL48" s="446" t="s">
        <v>233</v>
      </c>
      <c r="AM48" s="451"/>
      <c r="AN48" s="446" t="s">
        <v>234</v>
      </c>
      <c r="AO48" s="454"/>
      <c r="AP48" s="446" t="s">
        <v>220</v>
      </c>
      <c r="AQ48" s="451"/>
      <c r="AR48" s="219" t="s">
        <v>4</v>
      </c>
      <c r="AS48" s="121" t="s">
        <v>5</v>
      </c>
      <c r="AT48" s="121" t="s">
        <v>6</v>
      </c>
      <c r="AU48" s="122" t="s">
        <v>7</v>
      </c>
      <c r="AV48" s="121" t="s">
        <v>8</v>
      </c>
      <c r="AW48" s="121" t="s">
        <v>9</v>
      </c>
      <c r="AX48" s="121" t="s">
        <v>10</v>
      </c>
      <c r="AY48" s="121" t="s">
        <v>11</v>
      </c>
      <c r="AZ48" s="457" t="s">
        <v>238</v>
      </c>
      <c r="BA48" s="458"/>
      <c r="BB48" s="121" t="s">
        <v>13</v>
      </c>
      <c r="BC48" s="121" t="s">
        <v>14</v>
      </c>
      <c r="BD48" s="121" t="s">
        <v>15</v>
      </c>
      <c r="BE48" s="220" t="s">
        <v>16</v>
      </c>
    </row>
    <row r="49" spans="1:58" ht="13.5" thickBot="1">
      <c r="A49" s="32" t="s">
        <v>79</v>
      </c>
      <c r="B49" s="149" t="s">
        <v>217</v>
      </c>
      <c r="C49" s="100" t="s">
        <v>215</v>
      </c>
      <c r="D49" s="149" t="s">
        <v>217</v>
      </c>
      <c r="E49" s="150" t="s">
        <v>215</v>
      </c>
      <c r="F49" s="149" t="s">
        <v>101</v>
      </c>
      <c r="G49" s="150" t="s">
        <v>215</v>
      </c>
      <c r="H49" s="100" t="s">
        <v>216</v>
      </c>
      <c r="I49" s="100" t="s">
        <v>215</v>
      </c>
      <c r="J49" s="146" t="s">
        <v>217</v>
      </c>
      <c r="K49" s="146" t="s">
        <v>215</v>
      </c>
      <c r="L49" s="151" t="s">
        <v>217</v>
      </c>
      <c r="M49" s="152" t="s">
        <v>215</v>
      </c>
      <c r="N49" s="146" t="s">
        <v>217</v>
      </c>
      <c r="O49" s="146" t="s">
        <v>215</v>
      </c>
      <c r="P49" s="151" t="s">
        <v>217</v>
      </c>
      <c r="Q49" s="152" t="s">
        <v>215</v>
      </c>
      <c r="R49" s="151" t="s">
        <v>217</v>
      </c>
      <c r="S49" s="152" t="s">
        <v>215</v>
      </c>
      <c r="T49" s="146" t="s">
        <v>217</v>
      </c>
      <c r="U49" s="146" t="s">
        <v>215</v>
      </c>
      <c r="V49" s="151" t="s">
        <v>217</v>
      </c>
      <c r="W49" s="152" t="s">
        <v>215</v>
      </c>
      <c r="X49" s="146" t="s">
        <v>217</v>
      </c>
      <c r="Y49" s="146" t="s">
        <v>215</v>
      </c>
      <c r="Z49" s="151" t="s">
        <v>217</v>
      </c>
      <c r="AA49" s="152" t="s">
        <v>215</v>
      </c>
      <c r="AB49" s="146" t="s">
        <v>217</v>
      </c>
      <c r="AC49" s="146" t="s">
        <v>215</v>
      </c>
      <c r="AD49" s="151" t="s">
        <v>217</v>
      </c>
      <c r="AE49" s="152" t="s">
        <v>215</v>
      </c>
      <c r="AF49" s="146" t="s">
        <v>217</v>
      </c>
      <c r="AG49" s="146" t="s">
        <v>215</v>
      </c>
      <c r="AH49" s="151" t="s">
        <v>217</v>
      </c>
      <c r="AI49" s="152" t="s">
        <v>215</v>
      </c>
      <c r="AJ49" s="146" t="s">
        <v>217</v>
      </c>
      <c r="AK49" s="146" t="s">
        <v>215</v>
      </c>
      <c r="AL49" s="151" t="s">
        <v>217</v>
      </c>
      <c r="AM49" s="152" t="s">
        <v>215</v>
      </c>
      <c r="AN49" s="151" t="s">
        <v>217</v>
      </c>
      <c r="AO49" s="146" t="s">
        <v>215</v>
      </c>
      <c r="AP49" s="151" t="s">
        <v>217</v>
      </c>
      <c r="AQ49" s="152" t="s">
        <v>215</v>
      </c>
      <c r="AR49" s="257" t="s">
        <v>93</v>
      </c>
      <c r="AS49" s="96" t="s">
        <v>91</v>
      </c>
      <c r="AT49" s="118" t="s">
        <v>91</v>
      </c>
      <c r="AU49" s="97" t="s">
        <v>91</v>
      </c>
      <c r="AV49" s="118" t="s">
        <v>93</v>
      </c>
      <c r="AW49" s="118" t="s">
        <v>91</v>
      </c>
      <c r="AX49" s="118" t="s">
        <v>91</v>
      </c>
      <c r="AY49" s="160" t="s">
        <v>91</v>
      </c>
      <c r="AZ49" s="161" t="s">
        <v>217</v>
      </c>
      <c r="BA49" s="162" t="s">
        <v>215</v>
      </c>
      <c r="BB49" s="159" t="s">
        <v>93</v>
      </c>
      <c r="BC49" s="118" t="s">
        <v>93</v>
      </c>
      <c r="BD49" s="118" t="s">
        <v>93</v>
      </c>
      <c r="BE49" s="301" t="s">
        <v>91</v>
      </c>
      <c r="BF49" s="19"/>
    </row>
    <row r="50" spans="1:58">
      <c r="A50" s="6" t="s">
        <v>188</v>
      </c>
      <c r="B50" s="53">
        <v>94.120253954510503</v>
      </c>
      <c r="C50" s="53">
        <f>(B50*'ADC''s, Trout'!C50)/100</f>
        <v>70.842636982008685</v>
      </c>
      <c r="D50" s="158">
        <v>1.7364521826944692</v>
      </c>
      <c r="E50" s="129">
        <f>(D50*'ADC''s, Trout'!D50)/100</f>
        <v>1.4903194033526994</v>
      </c>
      <c r="F50" s="201">
        <v>51.945779941934568</v>
      </c>
      <c r="G50" s="202">
        <f>(F50*'ADC''s, Trout'!E50)/100</f>
        <v>49.839835167032106</v>
      </c>
      <c r="H50" s="58">
        <v>4684.8476972141552</v>
      </c>
      <c r="I50" s="208">
        <f>(H50*'ADC''s, Trout'!F50)/100</f>
        <v>3786.3619864794537</v>
      </c>
      <c r="J50" s="38">
        <v>2.3905587856652546</v>
      </c>
      <c r="K50" s="51">
        <f>(J50*'ADC''s, Trout'!G50)/100</f>
        <v>2.3180995838273071</v>
      </c>
      <c r="L50" s="156">
        <v>4.4305022827662714</v>
      </c>
      <c r="M50" s="148">
        <f>(L50*'ADC''s, Trout'!H50)/100</f>
        <v>4.4050992120210859</v>
      </c>
      <c r="N50" s="38">
        <v>6.0985810798749158</v>
      </c>
      <c r="O50" s="51">
        <f>(N50*'ADC''s, Trout'!I50)/100</f>
        <v>5.8050545386490455</v>
      </c>
      <c r="P50" s="156">
        <v>9.4028645569500018</v>
      </c>
      <c r="Q50" s="148">
        <f>(P50*'ADC''s, Trout'!J50)/100</f>
        <v>8.9451092988804124</v>
      </c>
      <c r="R50" s="156">
        <v>2.22056349424017</v>
      </c>
      <c r="S50" s="148">
        <f>(R50*'ADC''s, Trout'!K50)/100</f>
        <v>2.1186511030381103</v>
      </c>
      <c r="T50" s="38">
        <v>1.3068388028303393</v>
      </c>
      <c r="U50" s="51">
        <f>(T50*'ADC''s, Trout'!L50)/100</f>
        <v>1.2697949300338645</v>
      </c>
      <c r="V50" s="156">
        <v>2.3374352570949157</v>
      </c>
      <c r="W50" s="148">
        <f>(V50*'ADC''s, Trout'!M50)/100</f>
        <v>2.2673491733700217</v>
      </c>
      <c r="X50" s="38">
        <v>4.5261246341928816</v>
      </c>
      <c r="Y50" s="51">
        <f>(X50*'ADC''s, Trout'!N50)/100</f>
        <v>4.4014439513773427</v>
      </c>
      <c r="Z50" s="156">
        <v>2.7199246628013563</v>
      </c>
      <c r="AA50" s="148">
        <f>(Z50*'ADC''s, Trout'!O50)/100</f>
        <v>2.6492773665078069</v>
      </c>
      <c r="AB50" s="38">
        <v>0.65873175427220343</v>
      </c>
      <c r="AC50" s="51">
        <f>(AB50*'ADC''s, Trout'!P50)/100</f>
        <v>0.64225936172091469</v>
      </c>
      <c r="AD50" s="156">
        <v>2.9217940713686446</v>
      </c>
      <c r="AE50" s="148">
        <f>(AD50*'ADC''s, Trout'!Q50)/100</f>
        <v>2.6655991930418157</v>
      </c>
      <c r="AF50" s="38">
        <v>2.8261717199420344</v>
      </c>
      <c r="AG50" s="38">
        <f>(AF50*'ADC''s, Trout'!R50)/100</f>
        <v>2.7003724777457667</v>
      </c>
      <c r="AH50" s="156">
        <v>3.0280411285093223</v>
      </c>
      <c r="AI50" s="148">
        <f>(AH50*'ADC''s, Trout'!S50)/100</f>
        <v>2.8598796303190159</v>
      </c>
      <c r="AJ50" s="38">
        <v>2.3374352570949157</v>
      </c>
      <c r="AK50" s="51">
        <f>(AJ50*'ADC''s, Trout'!T50)/100</f>
        <v>2.1502642861022654</v>
      </c>
      <c r="AL50" s="156">
        <v>2.1886893770979663</v>
      </c>
      <c r="AM50" s="148">
        <f>(AL50*'ADC''s, Trout'!U50)/100</f>
        <v>2.1533310990715759</v>
      </c>
      <c r="AN50" s="156">
        <v>2.8049223085138988</v>
      </c>
      <c r="AO50" s="305">
        <f>(AN50*'ADC''s, Trout'!V50)/100</f>
        <v>2.679539040370591</v>
      </c>
      <c r="AP50" s="313">
        <f t="shared" ref="AP50:AP58" si="1">(J50+L50+N50+P50+R50+T50+V50+X50+Z50+AB50+AD50+AF50+AH50+AJ50+AL50+AN50)</f>
        <v>52.199179173215093</v>
      </c>
      <c r="AQ50" s="148">
        <f>(AP50*'ADC''s, Trout'!W50)/100</f>
        <v>50.01471090336868</v>
      </c>
      <c r="AR50" s="270">
        <v>0.50998587427525433</v>
      </c>
      <c r="AS50" s="173">
        <v>0.21249411428135595</v>
      </c>
      <c r="AT50" s="38">
        <v>159.37058571101696</v>
      </c>
      <c r="AU50" s="129">
        <v>98.809763140830526</v>
      </c>
      <c r="AV50" s="173">
        <v>0.33999058285016953</v>
      </c>
      <c r="AW50" s="38">
        <v>39.311411142050858</v>
      </c>
      <c r="AX50" s="4">
        <f>0.000276242348565763*10000</f>
        <v>2.7624234856576302</v>
      </c>
      <c r="AY50" s="4">
        <f>0.000701230577128475*10000</f>
        <v>7.0123057712847494</v>
      </c>
      <c r="AZ50" s="168">
        <v>0.8393517514113561</v>
      </c>
      <c r="BA50" s="169">
        <f>(AZ50*'ADC''s, Trout'!X50)/100</f>
        <v>8.4769000132998484E-2</v>
      </c>
      <c r="BB50" s="173">
        <v>2.5499293713762716</v>
      </c>
      <c r="BC50" s="173">
        <v>1.2749646856881357E-2</v>
      </c>
      <c r="BD50" s="173">
        <v>0.44623763999084753</v>
      </c>
      <c r="BE50" s="304">
        <v>4.462376399908476</v>
      </c>
      <c r="BF50" s="15"/>
    </row>
    <row r="51" spans="1:58">
      <c r="A51" s="6" t="s">
        <v>70</v>
      </c>
      <c r="B51" s="53">
        <v>96.064158673288176</v>
      </c>
      <c r="C51" s="53">
        <f>(B51*'ADC''s, Trout'!C51)/100</f>
        <v>90.548434667911209</v>
      </c>
      <c r="D51" s="158">
        <v>3.2575340310067862E-2</v>
      </c>
      <c r="E51" s="129">
        <f>(D51*'ADC''s, Trout'!D51)/100</f>
        <v>3.2575340310067862E-2</v>
      </c>
      <c r="F51" s="198">
        <v>72.23245480761662</v>
      </c>
      <c r="G51" s="148">
        <f>(F51*'ADC''s, Trout'!E51)/100</f>
        <v>72.23245480761662</v>
      </c>
      <c r="H51" s="58">
        <v>4709.8549682693338</v>
      </c>
      <c r="I51" s="207">
        <f>(H51*'ADC''s, Trout'!F51)/100</f>
        <v>4616.9894516657132</v>
      </c>
      <c r="J51" s="38">
        <v>3.3311070894641577</v>
      </c>
      <c r="K51" s="51">
        <f>(J51*'ADC''s, Trout'!G51)/100</f>
        <v>3.3311070894641572</v>
      </c>
      <c r="L51" s="156">
        <v>6.3186937603273243</v>
      </c>
      <c r="M51" s="148">
        <f>(L51*'ADC''s, Trout'!H51)/100</f>
        <v>6.3186937603273243</v>
      </c>
      <c r="N51" s="38">
        <v>8.9731697222440729</v>
      </c>
      <c r="O51" s="51">
        <f>(N51*'ADC''s, Trout'!I51)/100</f>
        <v>8.9141682746772002</v>
      </c>
      <c r="P51" s="156">
        <v>14.250892517113849</v>
      </c>
      <c r="Q51" s="148">
        <f>(P51*'ADC''s, Trout'!J51)/100</f>
        <v>14.250892517113847</v>
      </c>
      <c r="R51" s="156">
        <v>3.2790585411912803</v>
      </c>
      <c r="S51" s="148">
        <f>(R51*'ADC''s, Trout'!K51)/100</f>
        <v>3.2790585411912803</v>
      </c>
      <c r="T51" s="38">
        <v>1.8633380281690133</v>
      </c>
      <c r="U51" s="51">
        <f>(T51*'ADC''s, Trout'!L51)/100</f>
        <v>1.8633380281690135</v>
      </c>
      <c r="V51" s="156">
        <v>3.3623362184278842</v>
      </c>
      <c r="W51" s="148">
        <f>(V51*'ADC''s, Trout'!M51)/100</f>
        <v>3.3623362184278842</v>
      </c>
      <c r="X51" s="38">
        <v>6.0480413093083616</v>
      </c>
      <c r="Y51" s="51">
        <f>(X51*'ADC''s, Trout'!N51)/100</f>
        <v>6.0480413093083625</v>
      </c>
      <c r="Z51" s="156">
        <v>3.8932314108112345</v>
      </c>
      <c r="AA51" s="148">
        <f>(Z51*'ADC''s, Trout'!O51)/100</f>
        <v>3.893231410811234</v>
      </c>
      <c r="AB51" s="38">
        <v>1.0409709654575492</v>
      </c>
      <c r="AC51" s="51">
        <f>(AB51*'ADC''s, Trout'!P51)/100</f>
        <v>1.0409709654575492</v>
      </c>
      <c r="AD51" s="156">
        <v>4.0389673459752915</v>
      </c>
      <c r="AE51" s="148">
        <f>(AD51*'ADC''s, Trout'!Q51)/100</f>
        <v>4.0389673459752915</v>
      </c>
      <c r="AF51" s="38">
        <v>4.3824877645762825</v>
      </c>
      <c r="AG51" s="38">
        <f>(AF51*'ADC''s, Trout'!R51)/100</f>
        <v>4.3824877645762825</v>
      </c>
      <c r="AH51" s="156">
        <v>4.5490431190494904</v>
      </c>
      <c r="AI51" s="148">
        <f>(AH51*'ADC''s, Trout'!S51)/100</f>
        <v>4.5490431190494904</v>
      </c>
      <c r="AJ51" s="38">
        <v>3.3727459280824599</v>
      </c>
      <c r="AK51" s="51">
        <f>(AJ51*'ADC''s, Trout'!T51)/100</f>
        <v>3.3646366977343143</v>
      </c>
      <c r="AL51" s="156">
        <v>3.0188157998268927</v>
      </c>
      <c r="AM51" s="148">
        <f>(AL51*'ADC''s, Trout'!U51)/100</f>
        <v>3.0188157998268927</v>
      </c>
      <c r="AN51" s="156">
        <v>4.0493770556298667</v>
      </c>
      <c r="AO51" s="39">
        <f>(AN51*'ADC''s, Trout'!V51)/100</f>
        <v>4.0493770556298667</v>
      </c>
      <c r="AP51" s="147">
        <f t="shared" si="1"/>
        <v>75.772276575655013</v>
      </c>
      <c r="AQ51" s="148">
        <f>(AP51*'ADC''s, Trout'!W51)/100</f>
        <v>75.772276575655013</v>
      </c>
      <c r="AR51" s="270">
        <v>0.4267980958375952</v>
      </c>
      <c r="AS51" s="173">
        <v>0</v>
      </c>
      <c r="AT51" s="38">
        <v>84.318648202061496</v>
      </c>
      <c r="AU51" s="129">
        <v>70.786025651113349</v>
      </c>
      <c r="AV51" s="173">
        <v>0.37474954756471773</v>
      </c>
      <c r="AW51" s="38">
        <v>52.048548272877461</v>
      </c>
      <c r="AX51" s="4">
        <f>0.000864005901329766*10000</f>
        <v>8.6400590132976589</v>
      </c>
      <c r="AY51" s="129" t="s">
        <v>174</v>
      </c>
      <c r="AZ51" s="168">
        <v>1.0201515461483983</v>
      </c>
      <c r="BA51" s="169">
        <f>(AZ51*'ADC''s, Trout'!X51)/100</f>
        <v>0.35714838253895015</v>
      </c>
      <c r="BB51" s="173">
        <v>2.2901361240066089</v>
      </c>
      <c r="BC51" s="173"/>
      <c r="BD51" s="173">
        <v>0.6141728696199541</v>
      </c>
      <c r="BE51" s="304">
        <v>3.0188157998268927</v>
      </c>
      <c r="BF51" s="15"/>
    </row>
    <row r="52" spans="1:58">
      <c r="A52" s="6" t="s">
        <v>74</v>
      </c>
      <c r="B52" s="53">
        <v>92.738201100697836</v>
      </c>
      <c r="C52" s="53">
        <f>(B52*'ADC''s, Trout'!C52)/100</f>
        <v>90.275439718227062</v>
      </c>
      <c r="D52" s="158">
        <v>5.8947775414951673</v>
      </c>
      <c r="E52" s="129">
        <f>(D52*'ADC''s, Trout'!D52)/100</f>
        <v>5.8947775414951673</v>
      </c>
      <c r="F52" s="198">
        <v>56.878933787732358</v>
      </c>
      <c r="G52" s="148">
        <f>(F52*'ADC''s, Trout'!E52)/100</f>
        <v>56.700416774058596</v>
      </c>
      <c r="H52" s="58">
        <v>5577.3530094504695</v>
      </c>
      <c r="I52" s="207">
        <f>(H52*'ADC''s, Trout'!F52)/100</f>
        <v>5407.1336595910498</v>
      </c>
      <c r="J52" s="38">
        <v>2.5232320362340865</v>
      </c>
      <c r="K52" s="51">
        <f>(J52*'ADC''s, Trout'!G52)/100</f>
        <v>2.4241538806508358</v>
      </c>
      <c r="L52" s="156">
        <v>3.3643093816454486</v>
      </c>
      <c r="M52" s="148">
        <f>(L52*'ADC''s, Trout'!H52)/100</f>
        <v>3.3176379828700346</v>
      </c>
      <c r="N52" s="38">
        <v>3.4829228534342307</v>
      </c>
      <c r="O52" s="51">
        <f>(N52*'ADC''s, Trout'!I52)/100</f>
        <v>3.3303092541787005</v>
      </c>
      <c r="P52" s="156">
        <v>15.365836118092194</v>
      </c>
      <c r="Q52" s="148">
        <f>(P52*'ADC''s, Trout'!J52)/100</f>
        <v>15.077262496373589</v>
      </c>
      <c r="R52" s="156">
        <v>2.2320898782070762</v>
      </c>
      <c r="S52" s="148">
        <f>(R52*'ADC''s, Trout'!K52)/100</f>
        <v>2.1517953011608739</v>
      </c>
      <c r="T52" s="38">
        <v>1.2292668894473753</v>
      </c>
      <c r="U52" s="51">
        <f>(T52*'ADC''s, Trout'!L52)/100</f>
        <v>1.1812510153374378</v>
      </c>
      <c r="V52" s="156">
        <v>2.2860050926565227</v>
      </c>
      <c r="W52" s="148">
        <f>(V52*'ADC''s, Trout'!M52)/100</f>
        <v>2.2822528144766112</v>
      </c>
      <c r="X52" s="38">
        <v>4.5504440995332667</v>
      </c>
      <c r="Y52" s="51">
        <f>(X52*'ADC''s, Trout'!N52)/100</f>
        <v>4.4977845972861106</v>
      </c>
      <c r="Z52" s="156">
        <v>1.7684190339418384</v>
      </c>
      <c r="AA52" s="148">
        <f>(Z52*'ADC''s, Trout'!O52)/100</f>
        <v>1.6553501744254624</v>
      </c>
      <c r="AB52" s="38">
        <v>0.94890777431025475</v>
      </c>
      <c r="AC52" s="51">
        <f>(AB52*'ADC''s, Trout'!P52)/100</f>
        <v>0.94245275911292892</v>
      </c>
      <c r="AD52" s="156">
        <v>3.6770176254522373</v>
      </c>
      <c r="AE52" s="148">
        <f>(AD52*'ADC''s, Trout'!Q52)/100</f>
        <v>3.6753820388878284</v>
      </c>
      <c r="AF52" s="38">
        <v>7.4187335082438102</v>
      </c>
      <c r="AG52" s="38">
        <f>(AF52*'ADC''s, Trout'!R52)/100</f>
        <v>7.3576864145367509</v>
      </c>
      <c r="AH52" s="156">
        <v>3.0192520091689925</v>
      </c>
      <c r="AI52" s="148">
        <f>(AH52*'ADC''s, Trout'!S52)/100</f>
        <v>2.9380350149306635</v>
      </c>
      <c r="AJ52" s="38">
        <v>2.2752220497666333</v>
      </c>
      <c r="AK52" s="51">
        <f>(AJ52*'ADC''s, Trout'!T52)/100</f>
        <v>2.1784205369085909</v>
      </c>
      <c r="AL52" s="156">
        <v>2.3291372642160799</v>
      </c>
      <c r="AM52" s="148">
        <f>(AL52*'ADC''s, Trout'!U52)/100</f>
        <v>2.3245167183187796</v>
      </c>
      <c r="AN52" s="156">
        <v>3.4937058963241197</v>
      </c>
      <c r="AO52" s="39">
        <f>(AN52*'ADC''s, Trout'!V52)/100</f>
        <v>3.3821216491213937</v>
      </c>
      <c r="AP52" s="147">
        <f t="shared" si="1"/>
        <v>59.964501510674175</v>
      </c>
      <c r="AQ52" s="148">
        <f>(AP52*'ADC''s, Trout'!W52)/100</f>
        <v>58.734695867536523</v>
      </c>
      <c r="AR52" s="270">
        <v>0.11861347178878184</v>
      </c>
      <c r="AS52" s="173">
        <v>0.21566085779778515</v>
      </c>
      <c r="AT52" s="38">
        <v>1940.9477201800664</v>
      </c>
      <c r="AU52" s="129">
        <v>215.66085779778518</v>
      </c>
      <c r="AV52" s="173">
        <v>6.7933170206302324E-2</v>
      </c>
      <c r="AW52" s="38">
        <v>35.584041536634558</v>
      </c>
      <c r="AX52" s="4">
        <f>0.00044210475848546*10000</f>
        <v>4.4210475848546</v>
      </c>
      <c r="AY52" s="129" t="s">
        <v>174</v>
      </c>
      <c r="AZ52" s="168">
        <v>0.95969081720014404</v>
      </c>
      <c r="BA52" s="169">
        <f>(AZ52*'ADC''s, Trout'!X52)/100</f>
        <v>0.79060599691070133</v>
      </c>
      <c r="BB52" s="173">
        <v>0.34505737247645629</v>
      </c>
      <c r="BC52" s="173">
        <v>3.3427432958656703E-2</v>
      </c>
      <c r="BD52" s="173">
        <v>0.65776561628324481</v>
      </c>
      <c r="BE52" s="304">
        <v>22.644390068767443</v>
      </c>
      <c r="BF52" s="15"/>
    </row>
    <row r="53" spans="1:58">
      <c r="A53" s="6" t="s">
        <v>69</v>
      </c>
      <c r="B53" s="4">
        <v>94.176910079921839</v>
      </c>
      <c r="C53" s="53">
        <f>(B53*'ADC''s, Trout'!C53)/100</f>
        <v>89.425048702691868</v>
      </c>
      <c r="D53" s="158">
        <v>4.1582958738869573</v>
      </c>
      <c r="E53" s="129">
        <f>(D53*'ADC''s, Trout'!D53)/100</f>
        <v>3.811726880545228</v>
      </c>
      <c r="F53" s="198">
        <v>81.328852194237925</v>
      </c>
      <c r="G53" s="148">
        <f>(F53*'ADC''s, Trout'!E53)/100</f>
        <v>72.779109033657392</v>
      </c>
      <c r="H53" s="59">
        <v>5895.5164225373237</v>
      </c>
      <c r="I53" s="207">
        <f>(H53*'ADC''s, Trout'!F53)/100</f>
        <v>5385.1293986876753</v>
      </c>
      <c r="J53" s="38">
        <v>7.8681706521392698</v>
      </c>
      <c r="K53" s="51">
        <f>(J53*'ADC''s, Trout'!G53)/100</f>
        <v>7.1505969414253547</v>
      </c>
      <c r="L53" s="156">
        <v>2.9200363418870436</v>
      </c>
      <c r="M53" s="148">
        <f>(L53*'ADC''s, Trout'!H53)/100</f>
        <v>2.6803055194242802</v>
      </c>
      <c r="N53" s="38">
        <v>5.3622485551016617</v>
      </c>
      <c r="O53" s="51">
        <f>(N53*'ADC''s, Trout'!I53)/100</f>
        <v>4.6733203595358637</v>
      </c>
      <c r="P53" s="156">
        <v>19.983666892477874</v>
      </c>
      <c r="Q53" s="148">
        <f>(P53*'ADC''s, Trout'!J53)/100</f>
        <v>18.047902775101051</v>
      </c>
      <c r="R53" s="156">
        <v>2.3997389573326244</v>
      </c>
      <c r="S53" s="148">
        <f>(R53*'ADC''s, Trout'!K53)/100</f>
        <v>2.0504958243679003</v>
      </c>
      <c r="T53" s="38">
        <v>1.8051133749847177</v>
      </c>
      <c r="U53" s="51">
        <f>(T53*'ADC''s, Trout'!L53)/100</f>
        <v>1.5678020873455114</v>
      </c>
      <c r="V53" s="156">
        <v>3.3553872146774752</v>
      </c>
      <c r="W53" s="148">
        <f>(V53*'ADC''s, Trout'!M53)/100</f>
        <v>2.9456965848061891</v>
      </c>
      <c r="X53" s="38">
        <v>15.067387524137144</v>
      </c>
      <c r="Y53" s="51">
        <f>(X53*'ADC''s, Trout'!N53)/100</f>
        <v>13.68313577396936</v>
      </c>
      <c r="Z53" s="156">
        <v>1.4971822698402659</v>
      </c>
      <c r="AA53" s="148">
        <f>(Z53*'ADC''s, Trout'!O53)/100</f>
        <v>1.3116906522289227</v>
      </c>
      <c r="AB53" s="38">
        <v>2.059952910276678</v>
      </c>
      <c r="AC53" s="51">
        <f>(AB53*'ADC''s, Trout'!P53)/100</f>
        <v>1.8877045347863315</v>
      </c>
      <c r="AD53" s="156">
        <v>5.8188360558330903</v>
      </c>
      <c r="AE53" s="148">
        <f>(AD53*'ADC''s, Trout'!Q53)/100</f>
        <v>5.2860214540154109</v>
      </c>
      <c r="AF53" s="38">
        <v>9.3334979800680404</v>
      </c>
      <c r="AG53" s="38">
        <f>(AF53*'ADC''s, Trout'!R53)/100</f>
        <v>8.4536708734517401</v>
      </c>
      <c r="AH53" s="156">
        <v>5.3941034970131563</v>
      </c>
      <c r="AI53" s="148">
        <f>(AH53*'ADC''s, Trout'!S53)/100</f>
        <v>4.8915116469982562</v>
      </c>
      <c r="AJ53" s="38">
        <v>3.2385857610019935</v>
      </c>
      <c r="AK53" s="51">
        <f>(AJ53*'ADC''s, Trout'!T53)/100</f>
        <v>2.7745143679886906</v>
      </c>
      <c r="AL53" s="156">
        <v>5.0436991359867118</v>
      </c>
      <c r="AM53" s="148">
        <f>(AL53*'ADC''s, Trout'!U53)/100</f>
        <v>4.6470762370484149</v>
      </c>
      <c r="AN53" s="156">
        <v>4.4703101815798014</v>
      </c>
      <c r="AO53" s="39">
        <f>(AN53*'ADC''s, Trout'!V53)/100</f>
        <v>3.9254887893717676</v>
      </c>
      <c r="AP53" s="147">
        <f t="shared" si="1"/>
        <v>95.617917304337581</v>
      </c>
      <c r="AQ53" s="148">
        <f>(AP53*'ADC''s, Trout'!W53)/100</f>
        <v>85.985356241290631</v>
      </c>
      <c r="AR53" s="270">
        <v>0.11680145367548174</v>
      </c>
      <c r="AS53" s="173">
        <v>0.14865639558697677</v>
      </c>
      <c r="AT53" s="38">
        <v>159.27470955747509</v>
      </c>
      <c r="AU53" s="129">
        <v>94.502994337435226</v>
      </c>
      <c r="AV53" s="173">
        <v>7.6451860587588044E-2</v>
      </c>
      <c r="AW53" s="38">
        <v>9.5564825734485055</v>
      </c>
      <c r="AX53" s="129" t="s">
        <v>174</v>
      </c>
      <c r="AY53" s="129" t="s">
        <v>174</v>
      </c>
      <c r="AZ53" s="168">
        <v>0.30793110514445182</v>
      </c>
      <c r="BA53" s="169">
        <f>(AZ53*'ADC''s, Trout'!X53)/100</f>
        <v>0.17910560656363703</v>
      </c>
      <c r="BB53" s="173">
        <v>0.16989302352797345</v>
      </c>
      <c r="BC53" s="173">
        <v>0.27607616323295686</v>
      </c>
      <c r="BD53" s="173">
        <v>1.2741976764598009</v>
      </c>
      <c r="BE53" s="304">
        <v>6.5833546617089711</v>
      </c>
      <c r="BF53" s="15"/>
    </row>
    <row r="54" spans="1:58">
      <c r="A54" s="6" t="s">
        <v>187</v>
      </c>
      <c r="B54" s="53">
        <v>93.009360724076473</v>
      </c>
      <c r="C54" s="53">
        <f>(B54*'ADC''s, Trout'!C54)/100</f>
        <v>72.121635928114543</v>
      </c>
      <c r="D54" s="158">
        <v>2.185406370949516</v>
      </c>
      <c r="E54" s="129">
        <f>(D54*'ADC''s, Trout'!D54)/100</f>
        <v>1.8667574730981373</v>
      </c>
      <c r="F54" s="198">
        <v>61.46585629117348</v>
      </c>
      <c r="G54" s="148">
        <f>(F54*'ADC''s, Trout'!E54)/100</f>
        <v>49.486419152419749</v>
      </c>
      <c r="H54" s="58">
        <v>4818.100581611644</v>
      </c>
      <c r="I54" s="207">
        <f>(H54*'ADC''s, Trout'!F54)/100</f>
        <v>3633.9536946866801</v>
      </c>
      <c r="J54" s="38">
        <v>4.4296616683803247</v>
      </c>
      <c r="K54" s="51">
        <f>(J54*'ADC''s, Trout'!G54)/100</f>
        <v>3.4996956229688156</v>
      </c>
      <c r="L54" s="156">
        <v>4.7414582421255416</v>
      </c>
      <c r="M54" s="148">
        <f>(L54*'ADC''s, Trout'!H54)/100</f>
        <v>3.7189847432630803</v>
      </c>
      <c r="N54" s="38">
        <v>6.0854089910273386</v>
      </c>
      <c r="O54" s="51">
        <f>(N54*'ADC''s, Trout'!I54)/100</f>
        <v>4.9388419065676041</v>
      </c>
      <c r="P54" s="156">
        <v>9.6549421801105133</v>
      </c>
      <c r="Q54" s="148">
        <f>(P54*'ADC''s, Trout'!J54)/100</f>
        <v>8.2244383120923583</v>
      </c>
      <c r="R54" s="156">
        <v>2.9996980715488117</v>
      </c>
      <c r="S54" s="148">
        <f>(R54*'ADC''s, Trout'!K54)/100</f>
        <v>2.5312063789727328</v>
      </c>
      <c r="T54" s="38">
        <v>0.90313490326200785</v>
      </c>
      <c r="U54" s="51">
        <f>(T54*'ADC''s, Trout'!L54)/100</f>
        <v>0.74130480094731499</v>
      </c>
      <c r="V54" s="156">
        <v>3.1394689494345989</v>
      </c>
      <c r="W54" s="148">
        <f>(V54*'ADC''s, Trout'!M54)/100</f>
        <v>2.6374422888688396</v>
      </c>
      <c r="X54" s="38">
        <v>5.2790385416862602</v>
      </c>
      <c r="Y54" s="51">
        <f>(X54*'ADC''s, Trout'!N54)/100</f>
        <v>4.2484671335155317</v>
      </c>
      <c r="Z54" s="156">
        <v>2.2900920761286629</v>
      </c>
      <c r="AA54" s="148">
        <f>(Z54*'ADC''s, Trout'!O54)/100</f>
        <v>2.0243819543731694</v>
      </c>
      <c r="AB54" s="38">
        <v>1.3224475369193687</v>
      </c>
      <c r="AC54" s="51">
        <f>(AB54*'ADC''s, Trout'!P54)/100</f>
        <v>1.2034478316049138</v>
      </c>
      <c r="AD54" s="156">
        <v>2.9029336176278826</v>
      </c>
      <c r="AE54" s="148">
        <f>(AD54*'ADC''s, Trout'!Q54)/100</f>
        <v>2.2657833072592344</v>
      </c>
      <c r="AF54" s="38">
        <v>2.5051241959529502</v>
      </c>
      <c r="AG54" s="38">
        <f>(AF54*'ADC''s, Trout'!R54)/100</f>
        <v>2.168199193714905</v>
      </c>
      <c r="AH54" s="156">
        <v>3.3329978572764576</v>
      </c>
      <c r="AI54" s="148">
        <f>(AH54*'ADC''s, Trout'!S54)/100</f>
        <v>2.6416069594021137</v>
      </c>
      <c r="AJ54" s="38">
        <v>3.0964625254697413</v>
      </c>
      <c r="AK54" s="51">
        <f>(AJ54*'ADC''s, Trout'!T54)/100</f>
        <v>2.6790243133226954</v>
      </c>
      <c r="AL54" s="156">
        <v>2.6879014978035949</v>
      </c>
      <c r="AM54" s="148">
        <f>(AL54*'ADC''s, Trout'!U54)/100</f>
        <v>2.3231739994337084</v>
      </c>
      <c r="AN54" s="156">
        <v>4.3974068504066812</v>
      </c>
      <c r="AO54" s="39">
        <f>(AN54*'ADC''s, Trout'!V54)/100</f>
        <v>3.2923265639910886</v>
      </c>
      <c r="AP54" s="147">
        <f t="shared" si="1"/>
        <v>59.768177705160738</v>
      </c>
      <c r="AQ54" s="148">
        <f>(AP54*'ADC''s, Trout'!W54)/100</f>
        <v>49.146363834780466</v>
      </c>
      <c r="AR54" s="270">
        <v>0.56983511753436211</v>
      </c>
      <c r="AS54" s="173">
        <v>1.9352890784185881</v>
      </c>
      <c r="AT54" s="38">
        <v>35.480299771007452</v>
      </c>
      <c r="AU54" s="129">
        <v>1612.740898682157</v>
      </c>
      <c r="AV54" s="173">
        <v>0.48382226960464708</v>
      </c>
      <c r="AW54" s="38">
        <v>50.532548158707591</v>
      </c>
      <c r="AX54" s="129" t="s">
        <v>174</v>
      </c>
      <c r="AY54" s="4">
        <f>0.000473070663613433*10000</f>
        <v>4.7307066361343297</v>
      </c>
      <c r="AZ54" s="168">
        <v>1.3977087788578693</v>
      </c>
      <c r="BA54" s="169">
        <f>(AZ54*'ADC''s, Trout'!X54)/100</f>
        <v>1.167663698802532</v>
      </c>
      <c r="BB54" s="173">
        <v>2.365353318067164</v>
      </c>
      <c r="BC54" s="173">
        <v>4.3006423964857516</v>
      </c>
      <c r="BD54" s="173">
        <v>1.7202569585943006</v>
      </c>
      <c r="BE54" s="304">
        <v>129.01927189457254</v>
      </c>
      <c r="BF54" s="15"/>
    </row>
    <row r="55" spans="1:58">
      <c r="A55" s="141" t="s">
        <v>213</v>
      </c>
      <c r="B55" s="53">
        <v>95.045945736482793</v>
      </c>
      <c r="C55" s="53">
        <f>(B55*'ADC''s, Trout'!C55)/100</f>
        <v>79.725950042107328</v>
      </c>
      <c r="D55" s="158">
        <v>0.51443517032577224</v>
      </c>
      <c r="E55" s="129">
        <f>(D55*'ADC''s, Trout'!D55)/100</f>
        <v>0.35868459378809803</v>
      </c>
      <c r="F55" s="198">
        <v>72.651704883288488</v>
      </c>
      <c r="G55" s="148">
        <f>(F55*'ADC''s, Trout'!E55)/100</f>
        <v>58.307658558236859</v>
      </c>
      <c r="H55" s="58">
        <v>5252.3227175210341</v>
      </c>
      <c r="I55" s="207">
        <f>(H55*'ADC''s, Trout'!F55)/100</f>
        <v>4366.9286437516994</v>
      </c>
      <c r="J55" s="38">
        <v>5.1659226092747765</v>
      </c>
      <c r="K55" s="51">
        <f>(J55*'ADC''s, Trout'!G55)/100</f>
        <v>4.2383786422321403</v>
      </c>
      <c r="L55" s="156">
        <v>5.7656325659522967</v>
      </c>
      <c r="M55" s="148">
        <f>(L55*'ADC''s, Trout'!H55)/100</f>
        <v>4.2493264662157264</v>
      </c>
      <c r="N55" s="38">
        <v>7.3753803444024815</v>
      </c>
      <c r="O55" s="51">
        <f>(N55*'ADC''s, Trout'!I55)/100</f>
        <v>6.0952807077287332</v>
      </c>
      <c r="P55" s="156">
        <v>11.131458494119579</v>
      </c>
      <c r="Q55" s="148">
        <f>(P55*'ADC''s, Trout'!J55)/100</f>
        <v>9.0950831365083236</v>
      </c>
      <c r="R55" s="156">
        <v>3.4614837850334044</v>
      </c>
      <c r="S55" s="148">
        <f>(R55*'ADC''s, Trout'!K55)/100</f>
        <v>3.0614328131052329</v>
      </c>
      <c r="T55" s="38">
        <v>1.0731651856334565</v>
      </c>
      <c r="U55" s="51">
        <f>(T55*'ADC''s, Trout'!L55)/100</f>
        <v>0.94162376722644114</v>
      </c>
      <c r="V55" s="156">
        <v>3.6613871039259109</v>
      </c>
      <c r="W55" s="148">
        <f>(V55*'ADC''s, Trout'!M55)/100</f>
        <v>3.1708181911647375</v>
      </c>
      <c r="X55" s="38">
        <v>6.070748157946122</v>
      </c>
      <c r="Y55" s="51">
        <f>(X55*'ADC''s, Trout'!N55)/100</f>
        <v>5.2003098423645433</v>
      </c>
      <c r="Z55" s="156">
        <v>2.7670827825646969</v>
      </c>
      <c r="AA55" s="148">
        <f>(Z55*'ADC''s, Trout'!O55)/100</f>
        <v>2.4800517470562666</v>
      </c>
      <c r="AB55" s="38">
        <v>1.5781840965197891</v>
      </c>
      <c r="AC55" s="51">
        <f>(AB55*'ADC''s, Trout'!P55)/100</f>
        <v>1.4949327916237758</v>
      </c>
      <c r="AD55" s="156">
        <v>3.3352290573118211</v>
      </c>
      <c r="AE55" s="148">
        <f>(AD55*'ADC''s, Trout'!Q55)/100</f>
        <v>2.8903600291372822</v>
      </c>
      <c r="AF55" s="38">
        <v>2.8617738283558842</v>
      </c>
      <c r="AG55" s="38">
        <f>(AF55*'ADC''s, Trout'!R55)/100</f>
        <v>2.7053765445559161</v>
      </c>
      <c r="AH55" s="156">
        <v>3.9244177866792089</v>
      </c>
      <c r="AI55" s="148">
        <f>(AH55*'ADC''s, Trout'!S55)/100</f>
        <v>3.3382640583355077</v>
      </c>
      <c r="AJ55" s="38">
        <v>3.7350356950968342</v>
      </c>
      <c r="AK55" s="51">
        <f>(AJ55*'ADC''s, Trout'!T55)/100</f>
        <v>3.3465660885594231</v>
      </c>
      <c r="AL55" s="156">
        <v>3.1984531022801059</v>
      </c>
      <c r="AM55" s="148">
        <f>(AL55*'ADC''s, Trout'!U55)/100</f>
        <v>2.8321391637814797</v>
      </c>
      <c r="AN55" s="156">
        <v>5.0712315634835887</v>
      </c>
      <c r="AO55" s="39">
        <f>(AN55*'ADC''s, Trout'!V55)/100</f>
        <v>3.860751828015283</v>
      </c>
      <c r="AP55" s="147">
        <f t="shared" si="1"/>
        <v>70.176586158579966</v>
      </c>
      <c r="AQ55" s="148">
        <f>(AP55*'ADC''s, Trout'!W55)/100</f>
        <v>59.05124080707985</v>
      </c>
      <c r="AR55" s="270">
        <v>0.3366792739242217</v>
      </c>
      <c r="AS55" s="173">
        <v>0.47345522895593667</v>
      </c>
      <c r="AT55" s="38">
        <v>34.720050123435364</v>
      </c>
      <c r="AU55" s="129">
        <v>1578.1840965197891</v>
      </c>
      <c r="AV55" s="173">
        <v>0.35772172854448553</v>
      </c>
      <c r="AW55" s="38">
        <v>35.772172854448549</v>
      </c>
      <c r="AX55" s="129" t="s">
        <v>174</v>
      </c>
      <c r="AY55" s="129" t="s">
        <v>174</v>
      </c>
      <c r="AZ55" s="168">
        <v>1.2625472772158313</v>
      </c>
      <c r="BA55" s="169">
        <f>(AZ55*'ADC''s, Trout'!X55)/100</f>
        <v>1.1571270218067142</v>
      </c>
      <c r="BB55" s="173">
        <v>1.8938209158237469</v>
      </c>
      <c r="BC55" s="173">
        <v>0.64179486591804757</v>
      </c>
      <c r="BD55" s="173">
        <v>0.92586800329160968</v>
      </c>
      <c r="BE55" s="304">
        <v>1.2625472772158313</v>
      </c>
      <c r="BF55" s="15"/>
    </row>
    <row r="56" spans="1:58">
      <c r="A56" s="6" t="s">
        <v>195</v>
      </c>
      <c r="B56" s="53">
        <v>93.344155712455787</v>
      </c>
      <c r="C56" s="53">
        <f>(B56*'ADC''s, Trout'!C56)/100</f>
        <v>91.742816701056597</v>
      </c>
      <c r="D56" s="158">
        <v>7.5768150051843568</v>
      </c>
      <c r="E56" s="129">
        <f>(D56*'ADC''s, Trout'!D56)/100</f>
        <v>7.5768150051843568</v>
      </c>
      <c r="F56" s="198">
        <v>69.446768793635201</v>
      </c>
      <c r="G56" s="148">
        <f>(F56*'ADC''s, Trout'!E56)/100</f>
        <v>63.705592572367777</v>
      </c>
      <c r="H56" s="58">
        <v>5719.2552066981098</v>
      </c>
      <c r="I56" s="207">
        <f>(H56*'ADC''s, Trout'!F56)/100</f>
        <v>5719.2552066981098</v>
      </c>
      <c r="J56" s="38">
        <v>4.7030260935920607</v>
      </c>
      <c r="K56" s="51">
        <f>(J56*'ADC''s, Trout'!G56)/100</f>
        <v>4.395027757689741</v>
      </c>
      <c r="L56" s="156">
        <v>4.7780173980456926</v>
      </c>
      <c r="M56" s="148">
        <f>(L56*'ADC''s, Trout'!H56)/100</f>
        <v>4.5505934871356057</v>
      </c>
      <c r="N56" s="38">
        <v>6.5456695744527318</v>
      </c>
      <c r="O56" s="51">
        <f>(N56*'ADC''s, Trout'!I56)/100</f>
        <v>5.8339593564326346</v>
      </c>
      <c r="P56" s="156">
        <v>9.6953043615052756</v>
      </c>
      <c r="Q56" s="148">
        <f>(P56*'ADC''s, Trout'!J56)/100</f>
        <v>9.2086690009725292</v>
      </c>
      <c r="R56" s="156">
        <v>5.6029217470356443</v>
      </c>
      <c r="S56" s="148">
        <f>(R56*'ADC''s, Trout'!K56)/100</f>
        <v>4.7724609609482478</v>
      </c>
      <c r="T56" s="38">
        <v>1.414121741125631</v>
      </c>
      <c r="U56" s="51">
        <f>(T56*'ADC''s, Trout'!L56)/100</f>
        <v>1.3309837717723694</v>
      </c>
      <c r="V56" s="156">
        <v>2.7853913082777582</v>
      </c>
      <c r="W56" s="148">
        <f>(V56*'ADC''s, Trout'!M56)/100</f>
        <v>2.7168834083811242</v>
      </c>
      <c r="X56" s="38">
        <v>5.120834789833725</v>
      </c>
      <c r="Y56" s="51">
        <f>(X56*'ADC''s, Trout'!N56)/100</f>
        <v>5.0700763589356157</v>
      </c>
      <c r="Z56" s="156">
        <v>4.3602087018040292</v>
      </c>
      <c r="AA56" s="148">
        <f>(Z56*'ADC''s, Trout'!O56)/100</f>
        <v>4.1076185487085954</v>
      </c>
      <c r="AB56" s="38">
        <v>2.0676173942215668</v>
      </c>
      <c r="AC56" s="51">
        <f>(AB56*'ADC''s, Trout'!P56)/100</f>
        <v>1.9708592137985936</v>
      </c>
      <c r="AD56" s="156">
        <v>2.881808699718142</v>
      </c>
      <c r="AE56" s="148">
        <f>(AD56*'ADC''s, Trout'!Q56)/100</f>
        <v>2.7573520340228357</v>
      </c>
      <c r="AF56" s="38">
        <v>3.8781217446021095</v>
      </c>
      <c r="AG56" s="38">
        <f>(AF56*'ADC''s, Trout'!R56)/100</f>
        <v>3.5716333243150329</v>
      </c>
      <c r="AH56" s="156">
        <v>3.192486961026046</v>
      </c>
      <c r="AI56" s="148">
        <f>(AH56*'ADC''s, Trout'!S56)/100</f>
        <v>2.993780927579385</v>
      </c>
      <c r="AJ56" s="38">
        <v>3.171060874039294</v>
      </c>
      <c r="AK56" s="51">
        <f>(AJ56*'ADC''s, Trout'!T56)/100</f>
        <v>3.0032093272137326</v>
      </c>
      <c r="AL56" s="156">
        <v>2.3140173945692144</v>
      </c>
      <c r="AM56" s="148">
        <f>(AL56*'ADC''s, Trout'!U56)/100</f>
        <v>2.2987721581886142</v>
      </c>
      <c r="AN56" s="156">
        <v>3.7709913096683496</v>
      </c>
      <c r="AO56" s="39">
        <f>(AN56*'ADC''s, Trout'!V56)/100</f>
        <v>3.6238931514988098</v>
      </c>
      <c r="AP56" s="147">
        <f t="shared" si="1"/>
        <v>66.28160009351727</v>
      </c>
      <c r="AQ56" s="148">
        <f>(AP56*'ADC''s, Trout'!W56)/100</f>
        <v>62.201209578483812</v>
      </c>
      <c r="AR56" s="270">
        <v>4.9280000069529564</v>
      </c>
      <c r="AS56" s="173">
        <v>0.4713739137085437</v>
      </c>
      <c r="AT56" s="38">
        <v>31.06782613079038</v>
      </c>
      <c r="AU56" s="129">
        <v>824.90434898995147</v>
      </c>
      <c r="AV56" s="173">
        <v>0.22497391336089587</v>
      </c>
      <c r="AW56" s="38">
        <v>42.852173973503973</v>
      </c>
      <c r="AX56" s="129" t="s">
        <v>174</v>
      </c>
      <c r="AY56" s="129" t="s">
        <v>174</v>
      </c>
      <c r="AZ56" s="168">
        <v>3.3210434829465578</v>
      </c>
      <c r="BA56" s="169">
        <f>(AZ56*'ADC''s, Trout'!X56)/100</f>
        <v>1.9030761917685028</v>
      </c>
      <c r="BB56" s="173">
        <v>1.1784347842713594</v>
      </c>
      <c r="BC56" s="173">
        <v>0.5892173921356797</v>
      </c>
      <c r="BD56" s="173">
        <v>0.8677565229634554</v>
      </c>
      <c r="BE56" s="304">
        <v>11.78434784271359</v>
      </c>
      <c r="BF56" s="15"/>
    </row>
    <row r="57" spans="1:58">
      <c r="A57" s="6" t="s">
        <v>71</v>
      </c>
      <c r="B57" s="53">
        <v>94.302921535718269</v>
      </c>
      <c r="C57" s="53">
        <f>(B57*'ADC''s, Trout'!C57)/100</f>
        <v>80.154847818997311</v>
      </c>
      <c r="D57" s="158">
        <v>22.172494874291704</v>
      </c>
      <c r="E57" s="129">
        <f>(D57*'ADC''s, Trout'!D57)/100</f>
        <v>21.962220168492472</v>
      </c>
      <c r="F57" s="198">
        <v>56.338127318650464</v>
      </c>
      <c r="G57" s="148">
        <f>(F57*'ADC''s, Trout'!E57)/100</f>
        <v>47.574277162916815</v>
      </c>
      <c r="H57" s="58">
        <v>4659.1511453562443</v>
      </c>
      <c r="I57" s="207">
        <f>(H57*'ADC''s, Trout'!F57)/100</f>
        <v>4285.078491946274</v>
      </c>
      <c r="J57" s="38">
        <v>3.1176128502937659</v>
      </c>
      <c r="K57" s="51">
        <f>(J57*'ADC''s, Trout'!G57)/100</f>
        <v>2.9025175469299773</v>
      </c>
      <c r="L57" s="156">
        <v>3.7114438693973404</v>
      </c>
      <c r="M57" s="148">
        <f>(L57*'ADC''s, Trout'!H57)/100</f>
        <v>3.4583403558100376</v>
      </c>
      <c r="N57" s="38">
        <v>5.9701225670591507</v>
      </c>
      <c r="O57" s="51">
        <f>(N57*'ADC''s, Trout'!I57)/100</f>
        <v>4.7418181042828786</v>
      </c>
      <c r="P57" s="156">
        <v>7.3592629867478694</v>
      </c>
      <c r="Q57" s="148">
        <f>(P57*'ADC''s, Trout'!J57)/100</f>
        <v>6.346015615387997</v>
      </c>
      <c r="R57" s="156">
        <v>2.7040519619894905</v>
      </c>
      <c r="S57" s="148">
        <f>(R57*'ADC''s, Trout'!K57)/100</f>
        <v>2.242123625277574</v>
      </c>
      <c r="T57" s="38">
        <v>1.1664537875248786</v>
      </c>
      <c r="U57" s="51">
        <f>(T57*'ADC''s, Trout'!L57)/100</f>
        <v>0.95342299226765037</v>
      </c>
      <c r="V57" s="156">
        <v>2.873717967447655</v>
      </c>
      <c r="W57" s="148">
        <f>(V57*'ADC''s, Trout'!M57)/100</f>
        <v>2.6315164481267339</v>
      </c>
      <c r="X57" s="38">
        <v>4.7188357768051903</v>
      </c>
      <c r="Y57" s="51">
        <f>(X57*'ADC''s, Trout'!N57)/100</f>
        <v>4.3166046653215826</v>
      </c>
      <c r="Z57" s="156">
        <v>3.4993613625746351</v>
      </c>
      <c r="AA57" s="148">
        <f>(Z57*'ADC''s, Trout'!O57)/100</f>
        <v>3.1081388466026367</v>
      </c>
      <c r="AB57" s="38">
        <v>1.6966600545816413</v>
      </c>
      <c r="AC57" s="51">
        <f>(AB57*'ADC''s, Trout'!P57)/100</f>
        <v>1.4960417908265782</v>
      </c>
      <c r="AD57" s="156">
        <v>4.1144006323604803</v>
      </c>
      <c r="AE57" s="148">
        <f>(AD57*'ADC''s, Trout'!Q57)/100</f>
        <v>1.5852017431330347</v>
      </c>
      <c r="AF57" s="38">
        <v>2.799489090059708</v>
      </c>
      <c r="AG57" s="38">
        <f>(AF57*'ADC''s, Trout'!R57)/100</f>
        <v>2.3927156455190688</v>
      </c>
      <c r="AH57" s="156">
        <v>2.7570725886951672</v>
      </c>
      <c r="AI57" s="148">
        <f>(AH57*'ADC''s, Trout'!S57)/100</f>
        <v>2.3481431731277267</v>
      </c>
      <c r="AJ57" s="38">
        <v>2.8206973407419786</v>
      </c>
      <c r="AK57" s="51">
        <f>(AJ57*'ADC''s, Trout'!T57)/100</f>
        <v>2.3310216117028117</v>
      </c>
      <c r="AL57" s="156">
        <v>2.4495529538022449</v>
      </c>
      <c r="AM57" s="148">
        <f>(AL57*'ADC''s, Trout'!U57)/100</f>
        <v>1.0952236055424462</v>
      </c>
      <c r="AN57" s="156">
        <v>3.3933201091632825</v>
      </c>
      <c r="AO57" s="39">
        <f>(AN57*'ADC''s, Trout'!V57)/100</f>
        <v>3.0373887806523454</v>
      </c>
      <c r="AP57" s="147">
        <f t="shared" si="1"/>
        <v>55.15205589924448</v>
      </c>
      <c r="AQ57" s="148">
        <f>(AP57*'ADC''s, Trout'!W57)/100</f>
        <v>44.962630827914694</v>
      </c>
      <c r="AR57" s="270">
        <v>2.4389488284611089</v>
      </c>
      <c r="AS57" s="173">
        <v>0.59383101910357461</v>
      </c>
      <c r="AT57" s="38">
        <v>286.31138421065202</v>
      </c>
      <c r="AU57" s="129">
        <v>243.89488284611093</v>
      </c>
      <c r="AV57" s="173">
        <v>0.41356088830427506</v>
      </c>
      <c r="AW57" s="38">
        <v>8.6953827797309113</v>
      </c>
      <c r="AX57" s="129" t="s">
        <v>174</v>
      </c>
      <c r="AY57" s="129" t="s">
        <v>174</v>
      </c>
      <c r="AZ57" s="168">
        <v>1.4845775477589362</v>
      </c>
      <c r="BA57" s="169">
        <f>(AZ57*'ADC''s, Trout'!X57)/100</f>
        <v>0.88942192330216996</v>
      </c>
      <c r="BB57" s="173">
        <v>0.46658151500995138</v>
      </c>
      <c r="BC57" s="173">
        <v>0.81651765126741493</v>
      </c>
      <c r="BD57" s="173">
        <v>1.1664537875248786</v>
      </c>
      <c r="BE57" s="304">
        <v>5.6201864308016871</v>
      </c>
      <c r="BF57" s="15"/>
    </row>
    <row r="58" spans="1:58">
      <c r="A58" s="6" t="s">
        <v>155</v>
      </c>
      <c r="B58" s="53">
        <v>94.992069372354237</v>
      </c>
      <c r="C58" s="53">
        <f>(B58*'ADC''s, Trout'!C58)/100</f>
        <v>18.911998946555638</v>
      </c>
      <c r="D58" s="198">
        <v>0.52022630429844896</v>
      </c>
      <c r="E58" s="129">
        <f>(D58*'ADC''s, Trout'!D58)/100</f>
        <v>3.0018924743167964E-2</v>
      </c>
      <c r="F58" s="198">
        <v>48.096646701010478</v>
      </c>
      <c r="G58" s="148">
        <f>(F58*'ADC''s, Trout'!E58)/100</f>
        <v>17.658218809950611</v>
      </c>
      <c r="H58" s="59">
        <v>4604.6053411622779</v>
      </c>
      <c r="I58" s="207">
        <f>(H58*'ADC''s, Trout'!F58)/100</f>
        <v>1139.801182664638</v>
      </c>
      <c r="J58" s="38">
        <v>3.2529031322474693</v>
      </c>
      <c r="K58" s="51">
        <f>(J58*'ADC''s, Trout'!G58)/100</f>
        <v>1.7437856325799603</v>
      </c>
      <c r="L58" s="156">
        <v>2.6633802344938822</v>
      </c>
      <c r="M58" s="148">
        <f>(L58*'ADC''s, Trout'!H58)/100</f>
        <v>1.561613203076323</v>
      </c>
      <c r="N58" s="38">
        <v>5.1477981607411403</v>
      </c>
      <c r="O58" s="51">
        <f>(N58*'ADC''s, Trout'!I58)/100</f>
        <v>3.48017382036016</v>
      </c>
      <c r="P58" s="156">
        <v>6.5268606537004237</v>
      </c>
      <c r="Q58" s="148">
        <f>(P58*'ADC''s, Trout'!J58)/100</f>
        <v>3.0880084067406779</v>
      </c>
      <c r="R58" s="156">
        <v>2.1475476989594942</v>
      </c>
      <c r="S58" s="148">
        <f>(R58*'ADC''s, Trout'!K58)/100</f>
        <v>0.78287925525807278</v>
      </c>
      <c r="T58" s="38">
        <v>1.0106106818632914</v>
      </c>
      <c r="U58" s="51">
        <f>(T58*'ADC''s, Trout'!L58)/100</f>
        <v>0.35655241464349202</v>
      </c>
      <c r="V58" s="156">
        <v>2.2001836719732073</v>
      </c>
      <c r="W58" s="148">
        <f>(V58*'ADC''s, Trout'!M58)/100</f>
        <v>1.0181105859332087</v>
      </c>
      <c r="X58" s="38">
        <v>3.4634470243023219</v>
      </c>
      <c r="Y58" s="51">
        <f>(X58*'ADC''s, Trout'!N58)/100</f>
        <v>1.4346605447547662</v>
      </c>
      <c r="Z58" s="156">
        <v>3.0528864347953597</v>
      </c>
      <c r="AA58" s="148">
        <f>(Z58*'ADC''s, Trout'!O58)/100</f>
        <v>1.6212801955334706</v>
      </c>
      <c r="AB58" s="38">
        <v>0.7263764275892407</v>
      </c>
      <c r="AC58" s="51">
        <f>(AB58*'ADC''s, Trout'!P58)/100</f>
        <v>0.34305869625226165</v>
      </c>
      <c r="AD58" s="156">
        <v>2.2317652557814354</v>
      </c>
      <c r="AE58" s="148">
        <f>(AD58*'ADC''s, Trout'!Q58)/100</f>
        <v>0.58000292915531715</v>
      </c>
      <c r="AF58" s="38">
        <v>1.8317318608772157</v>
      </c>
      <c r="AG58" s="38">
        <f>(AF58*'ADC''s, Trout'!R58)/100</f>
        <v>0.59553237064850029</v>
      </c>
      <c r="AH58" s="156">
        <v>2.8423425427405071</v>
      </c>
      <c r="AI58" s="148">
        <f>(AH58*'ADC''s, Trout'!S58)/100</f>
        <v>1.0194086101553608</v>
      </c>
      <c r="AJ58" s="38">
        <v>2.7265434021103383</v>
      </c>
      <c r="AK58" s="51">
        <f>(AJ58*'ADC''s, Trout'!T58)/100</f>
        <v>0.84412804232076266</v>
      </c>
      <c r="AL58" s="156">
        <v>1.8633134446854436</v>
      </c>
      <c r="AM58" s="148">
        <f>(AL58*'ADC''s, Trout'!U58)/100</f>
        <v>0.95237825405495924</v>
      </c>
      <c r="AN58" s="156">
        <v>2.9686688779734185</v>
      </c>
      <c r="AO58" s="39">
        <f>(AN58*'ADC''s, Trout'!V58)/100</f>
        <v>1.1042795163772461</v>
      </c>
      <c r="AP58" s="147">
        <f t="shared" si="1"/>
        <v>44.656359504834192</v>
      </c>
      <c r="AQ58" s="148">
        <f>(AP58*'ADC''s, Trout'!W58)/100</f>
        <v>20.458763418706273</v>
      </c>
      <c r="AR58" s="270">
        <v>0.35792461649324908</v>
      </c>
      <c r="AS58" s="173">
        <v>2.0001669745210977</v>
      </c>
      <c r="AT58" s="38">
        <v>88.42843466303799</v>
      </c>
      <c r="AU58" s="129">
        <v>400.03339490421951</v>
      </c>
      <c r="AV58" s="173">
        <v>0.32634303268502118</v>
      </c>
      <c r="AW58" s="38">
        <v>70.532203838375551</v>
      </c>
      <c r="AX58" s="129" t="s">
        <v>174</v>
      </c>
      <c r="AY58" s="129" t="s">
        <v>174</v>
      </c>
      <c r="AZ58" s="168">
        <v>1.6843511364388191</v>
      </c>
      <c r="BA58" s="169">
        <f>(AZ58*'ADC''s, Trout'!X58)/100</f>
        <v>1.056331194342232</v>
      </c>
      <c r="BB58" s="173">
        <v>3.3687022728776381</v>
      </c>
      <c r="BC58" s="173">
        <v>4.9477814632890312E-2</v>
      </c>
      <c r="BD58" s="173">
        <v>0.68426764917827021</v>
      </c>
      <c r="BE58" s="304">
        <v>25.265267046582284</v>
      </c>
      <c r="BF58" s="15"/>
    </row>
    <row r="59" spans="1:58" s="19" customFormat="1">
      <c r="A59" s="6"/>
      <c r="B59" s="4"/>
      <c r="C59" s="4"/>
      <c r="D59" s="4"/>
      <c r="E59" s="4"/>
      <c r="F59" s="4"/>
      <c r="G59" s="39"/>
      <c r="H59" s="59"/>
      <c r="I59" s="26"/>
      <c r="J59" s="38"/>
      <c r="K59" s="39"/>
      <c r="L59" s="38"/>
      <c r="M59" s="39"/>
      <c r="N59" s="38"/>
      <c r="O59" s="39"/>
      <c r="P59" s="38"/>
      <c r="Q59" s="39"/>
      <c r="R59" s="38"/>
      <c r="S59" s="39"/>
      <c r="T59" s="38"/>
      <c r="U59" s="39"/>
      <c r="V59" s="38"/>
      <c r="W59" s="39"/>
      <c r="X59" s="38"/>
      <c r="Y59" s="39"/>
      <c r="Z59" s="38"/>
      <c r="AA59" s="39"/>
      <c r="AB59" s="38"/>
      <c r="AC59" s="39"/>
      <c r="AD59" s="38"/>
      <c r="AE59" s="39"/>
      <c r="AF59" s="38"/>
      <c r="AG59" s="38"/>
      <c r="AH59" s="38"/>
      <c r="AI59" s="39"/>
      <c r="AJ59" s="38"/>
      <c r="AK59" s="39"/>
      <c r="AL59" s="38"/>
      <c r="AM59" s="39"/>
      <c r="AN59" s="38"/>
      <c r="AO59" s="39"/>
      <c r="AP59" s="26"/>
      <c r="AQ59" s="39"/>
      <c r="AR59" s="173"/>
      <c r="AS59" s="173"/>
      <c r="AT59" s="38"/>
      <c r="AU59" s="128"/>
      <c r="AV59" s="173"/>
      <c r="AW59" s="38"/>
      <c r="AX59" s="129"/>
      <c r="AY59" s="129"/>
      <c r="AZ59" s="173"/>
      <c r="BA59" s="173"/>
      <c r="BB59" s="173"/>
      <c r="BC59" s="173"/>
      <c r="BD59" s="173"/>
      <c r="BE59" s="20"/>
      <c r="BF59" s="20"/>
    </row>
    <row r="60" spans="1:58" s="19" customFormat="1">
      <c r="A60" s="6"/>
      <c r="B60" s="4"/>
      <c r="C60" s="4"/>
      <c r="D60" s="4"/>
      <c r="E60" s="4"/>
      <c r="F60" s="4"/>
      <c r="G60" s="39"/>
      <c r="H60" s="59"/>
      <c r="I60" s="26"/>
      <c r="J60" s="38"/>
      <c r="K60" s="39"/>
      <c r="L60" s="38"/>
      <c r="M60" s="39"/>
      <c r="N60" s="38"/>
      <c r="O60" s="39"/>
      <c r="P60" s="38"/>
      <c r="Q60" s="39"/>
      <c r="R60" s="38"/>
      <c r="S60" s="39"/>
      <c r="T60" s="38"/>
      <c r="U60" s="39"/>
      <c r="V60" s="38"/>
      <c r="W60" s="39"/>
      <c r="X60" s="38"/>
      <c r="Y60" s="39"/>
      <c r="Z60" s="38"/>
      <c r="AA60" s="39"/>
      <c r="AB60" s="38"/>
      <c r="AC60" s="39"/>
      <c r="AD60" s="38"/>
      <c r="AE60" s="39"/>
      <c r="AF60" s="38"/>
      <c r="AG60" s="38"/>
      <c r="AH60" s="38"/>
      <c r="AI60" s="39"/>
      <c r="AJ60" s="38"/>
      <c r="AK60" s="39"/>
      <c r="AL60" s="38"/>
      <c r="AM60" s="39"/>
      <c r="AN60" s="38"/>
      <c r="AO60" s="39"/>
      <c r="AP60" s="26"/>
      <c r="AQ60" s="39"/>
      <c r="AR60" s="173"/>
      <c r="AS60" s="173"/>
      <c r="AT60" s="38"/>
      <c r="AU60" s="128"/>
      <c r="AV60" s="173"/>
      <c r="AW60" s="38"/>
      <c r="AX60" s="129"/>
      <c r="AY60" s="129"/>
      <c r="AZ60" s="173"/>
      <c r="BA60" s="173"/>
      <c r="BB60" s="173"/>
      <c r="BC60" s="173"/>
      <c r="BD60" s="173"/>
      <c r="BE60" s="20"/>
      <c r="BF60" s="20"/>
    </row>
    <row r="61" spans="1:58" s="19" customFormat="1">
      <c r="A61" s="6"/>
      <c r="B61" s="4"/>
      <c r="C61" s="4"/>
      <c r="D61" s="4"/>
      <c r="E61" s="4"/>
      <c r="F61" s="4"/>
      <c r="G61" s="39"/>
      <c r="H61" s="59"/>
      <c r="I61" s="26"/>
      <c r="J61" s="38"/>
      <c r="K61" s="39"/>
      <c r="L61" s="38"/>
      <c r="M61" s="39"/>
      <c r="N61" s="38"/>
      <c r="O61" s="39"/>
      <c r="P61" s="38"/>
      <c r="Q61" s="39"/>
      <c r="R61" s="38"/>
      <c r="S61" s="39"/>
      <c r="T61" s="38"/>
      <c r="U61" s="39"/>
      <c r="V61" s="38"/>
      <c r="W61" s="39"/>
      <c r="X61" s="38"/>
      <c r="Y61" s="39"/>
      <c r="Z61" s="38"/>
      <c r="AA61" s="39"/>
      <c r="AB61" s="38"/>
      <c r="AC61" s="39"/>
      <c r="AD61" s="38"/>
      <c r="AE61" s="39"/>
      <c r="AF61" s="38"/>
      <c r="AG61" s="38"/>
      <c r="AH61" s="38"/>
      <c r="AI61" s="39"/>
      <c r="AJ61" s="38"/>
      <c r="AK61" s="39"/>
      <c r="AL61" s="38"/>
      <c r="AM61" s="39"/>
      <c r="AN61" s="38"/>
      <c r="AO61" s="39"/>
      <c r="AP61" s="26"/>
      <c r="AQ61" s="39"/>
      <c r="AR61" s="173"/>
      <c r="AS61" s="173"/>
      <c r="AT61" s="38"/>
      <c r="AU61" s="128"/>
      <c r="AV61" s="173"/>
      <c r="AW61" s="38"/>
      <c r="AX61" s="129"/>
      <c r="AY61" s="129"/>
      <c r="AZ61" s="173"/>
      <c r="BA61" s="173"/>
      <c r="BB61" s="173"/>
      <c r="BC61" s="173"/>
      <c r="BD61" s="173"/>
      <c r="BE61" s="20"/>
      <c r="BF61" s="20"/>
    </row>
    <row r="62" spans="1:58" s="19" customFormat="1">
      <c r="A62" s="6"/>
      <c r="G62" s="39"/>
      <c r="H62" s="57"/>
      <c r="I62" s="26"/>
      <c r="J62" s="153"/>
      <c r="K62" s="39"/>
      <c r="L62" s="153"/>
      <c r="M62" s="39"/>
      <c r="N62" s="153"/>
      <c r="O62" s="39"/>
      <c r="P62" s="38"/>
      <c r="Q62" s="39"/>
      <c r="R62" s="153"/>
      <c r="S62" s="39"/>
      <c r="T62" s="153"/>
      <c r="U62" s="39"/>
      <c r="V62" s="153"/>
      <c r="W62" s="39"/>
      <c r="X62" s="153"/>
      <c r="Y62" s="39"/>
      <c r="Z62" s="153"/>
      <c r="AA62" s="39"/>
      <c r="AB62" s="153"/>
      <c r="AC62" s="39"/>
      <c r="AD62" s="153"/>
      <c r="AE62" s="39"/>
      <c r="AF62" s="153"/>
      <c r="AG62" s="153"/>
      <c r="AH62" s="153"/>
      <c r="AI62" s="39"/>
      <c r="AJ62" s="153"/>
      <c r="AK62" s="39"/>
      <c r="AL62" s="153"/>
      <c r="AM62" s="39"/>
      <c r="AN62" s="153"/>
      <c r="AO62" s="39"/>
      <c r="AP62" s="26"/>
      <c r="AQ62" s="39"/>
      <c r="AR62" s="20"/>
      <c r="AS62" s="20"/>
      <c r="AT62" s="38"/>
      <c r="AU62" s="128"/>
      <c r="AW62" s="24"/>
      <c r="AX62" s="38"/>
      <c r="AY62" s="153"/>
      <c r="AZ62" s="38"/>
      <c r="BA62" s="38"/>
      <c r="BB62" s="20"/>
      <c r="BC62" s="24"/>
      <c r="BD62" s="20"/>
      <c r="BE62" s="20"/>
      <c r="BF62" s="20"/>
    </row>
    <row r="63" spans="1:58" ht="18.75">
      <c r="A63" s="6"/>
      <c r="B63" s="91"/>
      <c r="C63" s="91"/>
      <c r="D63" s="105" t="s">
        <v>214</v>
      </c>
      <c r="E63" s="105"/>
      <c r="F63" s="143"/>
      <c r="G63" s="143"/>
      <c r="H63" s="91"/>
      <c r="I63" s="91"/>
      <c r="J63" s="154"/>
      <c r="K63" s="90"/>
      <c r="L63" s="154"/>
      <c r="M63" s="155"/>
      <c r="N63" s="90"/>
      <c r="O63" s="90"/>
      <c r="P63" s="154"/>
      <c r="Q63" s="155"/>
      <c r="R63" s="154"/>
      <c r="S63" s="155"/>
      <c r="T63" s="90"/>
      <c r="U63" s="90"/>
      <c r="V63" s="154"/>
      <c r="W63" s="155"/>
      <c r="X63" s="106" t="s">
        <v>218</v>
      </c>
      <c r="Y63" s="90"/>
      <c r="Z63" s="154"/>
      <c r="AA63" s="155"/>
      <c r="AB63" s="90"/>
      <c r="AC63" s="90"/>
      <c r="AD63" s="154"/>
      <c r="AE63" s="155"/>
      <c r="AF63" s="90"/>
      <c r="AG63" s="90"/>
      <c r="AH63" s="154"/>
      <c r="AI63" s="155"/>
      <c r="AJ63" s="90"/>
      <c r="AK63" s="90"/>
      <c r="AL63" s="154"/>
      <c r="AM63" s="155"/>
      <c r="AN63" s="154"/>
      <c r="AO63" s="260"/>
      <c r="AP63" s="144"/>
      <c r="AQ63" s="145"/>
      <c r="AR63" s="256"/>
      <c r="AS63" s="247"/>
      <c r="AT63" s="247"/>
      <c r="AU63" s="247"/>
      <c r="AV63" s="298"/>
      <c r="AW63" s="299" t="s">
        <v>239</v>
      </c>
      <c r="AX63" s="247"/>
      <c r="AY63" s="247"/>
      <c r="AZ63" s="165"/>
      <c r="BA63" s="166"/>
      <c r="BB63" s="247"/>
      <c r="BC63" s="247"/>
      <c r="BD63" s="247"/>
      <c r="BE63" s="300"/>
      <c r="BF63" s="15"/>
    </row>
    <row r="64" spans="1:58">
      <c r="A64" s="6"/>
      <c r="B64" s="455" t="s">
        <v>240</v>
      </c>
      <c r="C64" s="455"/>
      <c r="D64" s="452" t="s">
        <v>1</v>
      </c>
      <c r="E64" s="453"/>
      <c r="F64" s="452" t="s">
        <v>236</v>
      </c>
      <c r="G64" s="453"/>
      <c r="H64" s="455" t="s">
        <v>235</v>
      </c>
      <c r="I64" s="455"/>
      <c r="J64" s="449" t="s">
        <v>221</v>
      </c>
      <c r="K64" s="449"/>
      <c r="L64" s="446" t="s">
        <v>222</v>
      </c>
      <c r="M64" s="451"/>
      <c r="N64" s="449" t="s">
        <v>237</v>
      </c>
      <c r="O64" s="450"/>
      <c r="P64" s="446" t="s">
        <v>223</v>
      </c>
      <c r="Q64" s="451"/>
      <c r="R64" s="446" t="s">
        <v>224</v>
      </c>
      <c r="S64" s="451"/>
      <c r="T64" s="449" t="s">
        <v>225</v>
      </c>
      <c r="U64" s="450"/>
      <c r="V64" s="446" t="s">
        <v>226</v>
      </c>
      <c r="W64" s="451"/>
      <c r="X64" s="449" t="s">
        <v>227</v>
      </c>
      <c r="Y64" s="450"/>
      <c r="Z64" s="446" t="s">
        <v>219</v>
      </c>
      <c r="AA64" s="451"/>
      <c r="AB64" s="449" t="s">
        <v>228</v>
      </c>
      <c r="AC64" s="450"/>
      <c r="AD64" s="446" t="s">
        <v>229</v>
      </c>
      <c r="AE64" s="448"/>
      <c r="AF64" s="449" t="s">
        <v>230</v>
      </c>
      <c r="AG64" s="449"/>
      <c r="AH64" s="446" t="s">
        <v>231</v>
      </c>
      <c r="AI64" s="448"/>
      <c r="AJ64" s="449" t="s">
        <v>232</v>
      </c>
      <c r="AK64" s="449"/>
      <c r="AL64" s="446" t="s">
        <v>233</v>
      </c>
      <c r="AM64" s="451"/>
      <c r="AN64" s="446" t="s">
        <v>234</v>
      </c>
      <c r="AO64" s="454"/>
      <c r="AP64" s="446" t="s">
        <v>220</v>
      </c>
      <c r="AQ64" s="451"/>
      <c r="AR64" s="219" t="s">
        <v>4</v>
      </c>
      <c r="AS64" s="121" t="s">
        <v>5</v>
      </c>
      <c r="AT64" s="121" t="s">
        <v>6</v>
      </c>
      <c r="AU64" s="122" t="s">
        <v>7</v>
      </c>
      <c r="AV64" s="121" t="s">
        <v>8</v>
      </c>
      <c r="AW64" s="121" t="s">
        <v>9</v>
      </c>
      <c r="AX64" s="121" t="s">
        <v>10</v>
      </c>
      <c r="AY64" s="121" t="s">
        <v>11</v>
      </c>
      <c r="AZ64" s="457" t="s">
        <v>238</v>
      </c>
      <c r="BA64" s="458"/>
      <c r="BB64" s="121" t="s">
        <v>13</v>
      </c>
      <c r="BC64" s="121" t="s">
        <v>14</v>
      </c>
      <c r="BD64" s="121" t="s">
        <v>15</v>
      </c>
      <c r="BE64" s="220" t="s">
        <v>16</v>
      </c>
      <c r="BF64" s="15"/>
    </row>
    <row r="65" spans="1:58" ht="13.5" thickBot="1">
      <c r="A65" s="34" t="s">
        <v>80</v>
      </c>
      <c r="B65" s="149" t="s">
        <v>217</v>
      </c>
      <c r="C65" s="100" t="s">
        <v>215</v>
      </c>
      <c r="D65" s="149" t="s">
        <v>217</v>
      </c>
      <c r="E65" s="150" t="s">
        <v>215</v>
      </c>
      <c r="F65" s="149" t="s">
        <v>101</v>
      </c>
      <c r="G65" s="150" t="s">
        <v>215</v>
      </c>
      <c r="H65" s="100" t="s">
        <v>216</v>
      </c>
      <c r="I65" s="100" t="s">
        <v>215</v>
      </c>
      <c r="J65" s="146" t="s">
        <v>217</v>
      </c>
      <c r="K65" s="146" t="s">
        <v>215</v>
      </c>
      <c r="L65" s="151" t="s">
        <v>217</v>
      </c>
      <c r="M65" s="152" t="s">
        <v>215</v>
      </c>
      <c r="N65" s="146" t="s">
        <v>217</v>
      </c>
      <c r="O65" s="146" t="s">
        <v>215</v>
      </c>
      <c r="P65" s="151" t="s">
        <v>217</v>
      </c>
      <c r="Q65" s="152" t="s">
        <v>215</v>
      </c>
      <c r="R65" s="151" t="s">
        <v>217</v>
      </c>
      <c r="S65" s="152" t="s">
        <v>215</v>
      </c>
      <c r="T65" s="146" t="s">
        <v>217</v>
      </c>
      <c r="U65" s="146" t="s">
        <v>215</v>
      </c>
      <c r="V65" s="151" t="s">
        <v>217</v>
      </c>
      <c r="W65" s="152" t="s">
        <v>215</v>
      </c>
      <c r="X65" s="146" t="s">
        <v>217</v>
      </c>
      <c r="Y65" s="146" t="s">
        <v>215</v>
      </c>
      <c r="Z65" s="151" t="s">
        <v>217</v>
      </c>
      <c r="AA65" s="152" t="s">
        <v>215</v>
      </c>
      <c r="AB65" s="146" t="s">
        <v>217</v>
      </c>
      <c r="AC65" s="146" t="s">
        <v>215</v>
      </c>
      <c r="AD65" s="151" t="s">
        <v>217</v>
      </c>
      <c r="AE65" s="152" t="s">
        <v>215</v>
      </c>
      <c r="AF65" s="146" t="s">
        <v>217</v>
      </c>
      <c r="AG65" s="146" t="s">
        <v>215</v>
      </c>
      <c r="AH65" s="151" t="s">
        <v>217</v>
      </c>
      <c r="AI65" s="152" t="s">
        <v>215</v>
      </c>
      <c r="AJ65" s="146" t="s">
        <v>217</v>
      </c>
      <c r="AK65" s="146" t="s">
        <v>215</v>
      </c>
      <c r="AL65" s="151" t="s">
        <v>217</v>
      </c>
      <c r="AM65" s="152" t="s">
        <v>215</v>
      </c>
      <c r="AN65" s="151" t="s">
        <v>217</v>
      </c>
      <c r="AO65" s="146" t="s">
        <v>215</v>
      </c>
      <c r="AP65" s="151" t="s">
        <v>217</v>
      </c>
      <c r="AQ65" s="152" t="s">
        <v>215</v>
      </c>
      <c r="AR65" s="257" t="s">
        <v>93</v>
      </c>
      <c r="AS65" s="96" t="s">
        <v>91</v>
      </c>
      <c r="AT65" s="118" t="s">
        <v>91</v>
      </c>
      <c r="AU65" s="97" t="s">
        <v>91</v>
      </c>
      <c r="AV65" s="118" t="s">
        <v>93</v>
      </c>
      <c r="AW65" s="118" t="s">
        <v>91</v>
      </c>
      <c r="AX65" s="118" t="s">
        <v>91</v>
      </c>
      <c r="AY65" s="160" t="s">
        <v>91</v>
      </c>
      <c r="AZ65" s="161" t="s">
        <v>217</v>
      </c>
      <c r="BA65" s="162" t="s">
        <v>215</v>
      </c>
      <c r="BB65" s="159" t="s">
        <v>93</v>
      </c>
      <c r="BC65" s="118" t="s">
        <v>93</v>
      </c>
      <c r="BD65" s="118" t="s">
        <v>93</v>
      </c>
      <c r="BE65" s="301" t="s">
        <v>91</v>
      </c>
      <c r="BF65" s="15"/>
    </row>
    <row r="66" spans="1:58">
      <c r="A66" s="43" t="s">
        <v>202</v>
      </c>
      <c r="B66" s="137">
        <v>94.187718217293082</v>
      </c>
      <c r="C66" s="137">
        <f>(B66*'ADC''s, Trout'!C66)/100</f>
        <v>73.328777261762568</v>
      </c>
      <c r="D66" s="158">
        <v>0.92673353685128113</v>
      </c>
      <c r="E66" s="129">
        <f>(D66*'ADC''s, Trout'!D66)/100</f>
        <v>0</v>
      </c>
      <c r="F66" s="201">
        <v>98.801098233754914</v>
      </c>
      <c r="G66" s="202">
        <f>(F66*'ADC''s, Trout'!E66)/100</f>
        <v>78.082426196009266</v>
      </c>
      <c r="H66" s="58">
        <v>5201.1952223942426</v>
      </c>
      <c r="I66" s="55">
        <f>(H66*'ADC''s, Trout'!F66)/100</f>
        <v>3785.9670888274304</v>
      </c>
      <c r="J66" s="52">
        <v>8.6741670300915832</v>
      </c>
      <c r="K66" s="51">
        <f>(J66*'ADC''s, Trout'!G66)/100</f>
        <v>7.0878936145623213</v>
      </c>
      <c r="L66" s="156">
        <v>4.9581836022677717</v>
      </c>
      <c r="M66" s="148">
        <f>(L66*'ADC''s, Trout'!H66)/100</f>
        <v>3.7735989677237649</v>
      </c>
      <c r="N66" s="54">
        <v>11.76374182293938</v>
      </c>
      <c r="O66" s="51">
        <f>(N66*'ADC''s, Trout'!I66)/100</f>
        <v>9.5920594498785636</v>
      </c>
      <c r="P66" s="156">
        <v>9.332426951591799</v>
      </c>
      <c r="Q66" s="148">
        <f>(P66*'ADC''s, Trout'!J66)/100</f>
        <v>7.3830321904240517</v>
      </c>
      <c r="R66" s="157">
        <v>4.9900348887919757</v>
      </c>
      <c r="S66" s="148">
        <f>(R66*'ADC''s, Trout'!K66)/100</f>
        <v>4.0912011928054604</v>
      </c>
      <c r="T66" s="52">
        <v>6.2110008722197989</v>
      </c>
      <c r="U66" s="51">
        <f>(T66*'ADC''s, Trout'!L66)/100</f>
        <v>5.176669002075263</v>
      </c>
      <c r="V66" s="157">
        <v>1.3908395115569123</v>
      </c>
      <c r="W66" s="148">
        <f>(V66*'ADC''s, Trout'!M66)/100</f>
        <v>0.53133863294048733</v>
      </c>
      <c r="X66" s="52">
        <v>13.271369385085041</v>
      </c>
      <c r="Y66" s="51">
        <f>(X66*'ADC''s, Trout'!N66)/100</f>
        <v>11.134013844258835</v>
      </c>
      <c r="Z66" s="156">
        <v>7.3257959005669431</v>
      </c>
      <c r="AA66" s="148">
        <f>(Z66*'ADC''s, Trout'!O66)/100</f>
        <v>5.9737643028134748</v>
      </c>
      <c r="AB66" s="54">
        <v>0.76443087658089837</v>
      </c>
      <c r="AC66" s="51">
        <f>(AB66*'ADC''s, Trout'!P66)/100</f>
        <v>0.57038008815096897</v>
      </c>
      <c r="AD66" s="156">
        <v>7.2727104230266022</v>
      </c>
      <c r="AE66" s="148">
        <f>(AD66*'ADC''s, Trout'!Q66)/100</f>
        <v>5.966965471598229</v>
      </c>
      <c r="AF66" s="54">
        <v>3.8009201918883559</v>
      </c>
      <c r="AG66" s="38">
        <f>(AF66*'ADC''s, Trout'!R66)/100</f>
        <v>2.8297176729670563</v>
      </c>
      <c r="AH66" s="156">
        <v>5.0749716528565196</v>
      </c>
      <c r="AI66" s="148">
        <f>(AH66*'ADC''s, Trout'!S66)/100</f>
        <v>4.0928493043260463</v>
      </c>
      <c r="AJ66" s="54">
        <v>4.1619014391626692</v>
      </c>
      <c r="AK66" s="51">
        <f>(AJ66*'ADC''s, Trout'!T66)/100</f>
        <v>2.8598976368816627</v>
      </c>
      <c r="AL66" s="156">
        <v>2.7604448320976886</v>
      </c>
      <c r="AM66" s="148">
        <f>(AL66*'ADC''s, Trout'!U66)/100</f>
        <v>1.9919993272040122</v>
      </c>
      <c r="AN66" s="156">
        <v>8.8440405582206711</v>
      </c>
      <c r="AO66" s="305">
        <f>(AN66*'ADC''s, Trout'!V66)/100</f>
        <v>7.4082867028241415</v>
      </c>
      <c r="AP66" s="313">
        <f t="shared" ref="AP66:AP72" si="2">(J66+L66+N66+P66+R66+T66+V66+X66+Z66+AB66+AD66+AF66+AH66+AJ66+AL66+AN66)</f>
        <v>100.59697993894463</v>
      </c>
      <c r="AQ66" s="148">
        <f>(AP66*'ADC''s, Trout'!W66)/100</f>
        <v>80.562796660820055</v>
      </c>
      <c r="AR66" s="270">
        <v>6.7000000000000004E-2</v>
      </c>
      <c r="AS66" s="30" t="s">
        <v>174</v>
      </c>
      <c r="AT66" s="38">
        <v>28.000000000000004</v>
      </c>
      <c r="AU66" s="129">
        <v>2600</v>
      </c>
      <c r="AV66" s="173">
        <v>1.6E-2</v>
      </c>
      <c r="AW66" s="38">
        <v>0.91</v>
      </c>
      <c r="AX66" s="129" t="s">
        <v>174</v>
      </c>
      <c r="AY66" s="129" t="s">
        <v>174</v>
      </c>
      <c r="AZ66" s="168">
        <v>0.27</v>
      </c>
      <c r="BA66" s="169">
        <f>('ADC''s, Trout'!X66)/100</f>
        <v>1</v>
      </c>
      <c r="BB66" s="173">
        <v>0.51</v>
      </c>
      <c r="BC66" s="173">
        <v>0.26</v>
      </c>
      <c r="BD66" s="173">
        <v>0.51</v>
      </c>
      <c r="BE66" s="304">
        <v>2.1</v>
      </c>
      <c r="BF66" s="15"/>
    </row>
    <row r="67" spans="1:58">
      <c r="A67" s="43" t="s">
        <v>203</v>
      </c>
      <c r="B67" s="137">
        <v>90.499489329443122</v>
      </c>
      <c r="C67" s="137">
        <f>(B67*'ADC''s, Trout'!C67)/100</f>
        <v>71.621606813183789</v>
      </c>
      <c r="D67" s="158">
        <v>0.68130991281069608</v>
      </c>
      <c r="E67" s="129">
        <f>(D67*'ADC''s, Trout'!D67)/100</f>
        <v>0</v>
      </c>
      <c r="F67" s="198">
        <v>102.30057725848353</v>
      </c>
      <c r="G67" s="148">
        <f>(F67*'ADC''s, Trout'!E67)/100</f>
        <v>78.68325961843361</v>
      </c>
      <c r="H67" s="58">
        <v>6171.3229448941993</v>
      </c>
      <c r="I67" s="55">
        <f>(H67*'ADC''s, Trout'!F67)/100</f>
        <v>4612.8177904942286</v>
      </c>
      <c r="J67" s="52">
        <v>9.3591688337233183</v>
      </c>
      <c r="K67" s="51">
        <f>(J67*'ADC''s, Trout'!G67)/100</f>
        <v>7.6587519509088544</v>
      </c>
      <c r="L67" s="156">
        <v>4.7735075987821407</v>
      </c>
      <c r="M67" s="148">
        <f>(L67*'ADC''s, Trout'!H67)/100</f>
        <v>3.9700974375489113</v>
      </c>
      <c r="N67" s="54">
        <v>13.31499226049185</v>
      </c>
      <c r="O67" s="51">
        <f>(N67*'ADC''s, Trout'!I67)/100</f>
        <v>10.702964135626914</v>
      </c>
      <c r="P67" s="156">
        <v>8.8619284588501781</v>
      </c>
      <c r="Q67" s="148">
        <f>(P67*'ADC''s, Trout'!J67)/100</f>
        <v>7.1405466566781799</v>
      </c>
      <c r="R67" s="157">
        <v>5.4143951930630765</v>
      </c>
      <c r="S67" s="148">
        <f>(R67*'ADC''s, Trout'!K67)/100</f>
        <v>4.3743126075336622</v>
      </c>
      <c r="T67" s="52">
        <v>7.3260081897975908</v>
      </c>
      <c r="U67" s="51">
        <f>(T67*'ADC''s, Trout'!L67)/100</f>
        <v>5.7991592308219602</v>
      </c>
      <c r="V67" s="157">
        <v>0.41989187211509571</v>
      </c>
      <c r="W67" s="148">
        <f>(V67*'ADC''s, Trout'!M67)/100</f>
        <v>0.22416788841053781</v>
      </c>
      <c r="X67" s="52">
        <v>14.928261032302482</v>
      </c>
      <c r="Y67" s="51">
        <f>(X67*'ADC''s, Trout'!N67)/100</f>
        <v>12.139358497318906</v>
      </c>
      <c r="Z67" s="156">
        <v>7.624352414721475</v>
      </c>
      <c r="AA67" s="148">
        <f>(Z67*'ADC''s, Trout'!O67)/100</f>
        <v>6.2514111923346505</v>
      </c>
      <c r="AB67" s="54">
        <v>0.67403695260581153</v>
      </c>
      <c r="AC67" s="51">
        <f>(AB67*'ADC''s, Trout'!P67)/100</f>
        <v>0.53385882564894405</v>
      </c>
      <c r="AD67" s="156">
        <v>7.8342983507790223</v>
      </c>
      <c r="AE67" s="148">
        <f>(AD67*'ADC''s, Trout'!Q67)/100</f>
        <v>6.217549193692987</v>
      </c>
      <c r="AF67" s="54">
        <v>3.9447736406602414</v>
      </c>
      <c r="AG67" s="38">
        <f>(AF67*'ADC''s, Trout'!R67)/100</f>
        <v>3.0192898621236348</v>
      </c>
      <c r="AH67" s="156">
        <v>5.5138432680377045</v>
      </c>
      <c r="AI67" s="148">
        <f>(AH67*'ADC''s, Trout'!S67)/100</f>
        <v>4.3482143311149999</v>
      </c>
      <c r="AJ67" s="54">
        <v>3.6906285601695252</v>
      </c>
      <c r="AK67" s="51">
        <f>(AJ67*'ADC''s, Trout'!T67)/100</f>
        <v>2.8112818048561241</v>
      </c>
      <c r="AL67" s="156">
        <v>2.4199031577159462</v>
      </c>
      <c r="AM67" s="148">
        <f>(AL67*'ADC''s, Trout'!U67)/100</f>
        <v>1.9206863159846213</v>
      </c>
      <c r="AN67" s="156">
        <v>10.287350866819844</v>
      </c>
      <c r="AO67" s="39">
        <f>(AN67*'ADC''s, Trout'!V67)/100</f>
        <v>8.2616901656322046</v>
      </c>
      <c r="AP67" s="147">
        <f t="shared" si="2"/>
        <v>106.38734065063532</v>
      </c>
      <c r="AQ67" s="148">
        <f>(AP67*'ADC''s, Trout'!W67)/100</f>
        <v>85.475032556606962</v>
      </c>
      <c r="AR67" s="270">
        <v>4.5999999999999999E-3</v>
      </c>
      <c r="AS67" s="30" t="s">
        <v>174</v>
      </c>
      <c r="AT67" s="38">
        <v>17</v>
      </c>
      <c r="AU67" s="129">
        <v>2600</v>
      </c>
      <c r="AV67" s="173">
        <v>1.2999999999999999E-2</v>
      </c>
      <c r="AW67" s="139" t="s">
        <v>174</v>
      </c>
      <c r="AX67" s="129" t="s">
        <v>174</v>
      </c>
      <c r="AY67" s="129" t="s">
        <v>174</v>
      </c>
      <c r="AZ67" s="168">
        <v>0.18</v>
      </c>
      <c r="BA67" s="169">
        <f>('ADC''s, Trout'!X67)/100</f>
        <v>1</v>
      </c>
      <c r="BB67" s="173">
        <v>0.54</v>
      </c>
      <c r="BC67" s="173">
        <v>0.13</v>
      </c>
      <c r="BD67" s="173">
        <v>0.4</v>
      </c>
      <c r="BE67" s="304">
        <v>1.8</v>
      </c>
      <c r="BF67" s="15"/>
    </row>
    <row r="68" spans="1:58">
      <c r="A68" s="31" t="s">
        <v>153</v>
      </c>
      <c r="B68" s="137">
        <v>92.816556966285603</v>
      </c>
      <c r="C68" s="137">
        <f>(B68*'ADC''s, Trout'!C68)/100</f>
        <v>62.666000389625808</v>
      </c>
      <c r="D68" s="158">
        <v>1.2627941317737421</v>
      </c>
      <c r="E68" s="129">
        <f>(D68*'ADC''s, Trout'!D68)/100</f>
        <v>0.17460342680223875</v>
      </c>
      <c r="F68" s="198">
        <v>59.080515149811724</v>
      </c>
      <c r="G68" s="148">
        <f>(F68*'ADC''s, Trout'!E68)/100</f>
        <v>53.334720119169084</v>
      </c>
      <c r="H68" s="58">
        <v>4851.0804506953564</v>
      </c>
      <c r="I68" s="55">
        <f>(H68*'ADC''s, Trout'!F68)/100</f>
        <v>3439.861599152975</v>
      </c>
      <c r="J68" s="52">
        <v>2.8119982956791301</v>
      </c>
      <c r="K68" s="51">
        <f>(J68*'ADC''s, Trout'!G68)/100</f>
        <v>2.6703959968335895</v>
      </c>
      <c r="L68" s="156">
        <v>5.0206559608677184</v>
      </c>
      <c r="M68" s="148">
        <f>(L68*'ADC''s, Trout'!H68)/100</f>
        <v>4.8498546386096688</v>
      </c>
      <c r="N68" s="54">
        <v>7.2400875658864958</v>
      </c>
      <c r="O68" s="51">
        <f>(N68*'ADC''s, Trout'!I68)/100</f>
        <v>6.3494712564045939</v>
      </c>
      <c r="P68" s="156">
        <v>11.377280460678779</v>
      </c>
      <c r="Q68" s="148">
        <f>(P68*'ADC''s, Trout'!J68)/100</f>
        <v>10.880002753922028</v>
      </c>
      <c r="R68" s="157">
        <v>2.6827110177168714</v>
      </c>
      <c r="S68" s="148">
        <f>(R68*'ADC''s, Trout'!K68)/100</f>
        <v>2.3431485050363392</v>
      </c>
      <c r="T68" s="52">
        <v>1.7453782524904946</v>
      </c>
      <c r="U68" s="51">
        <f>(T68*'ADC''s, Trout'!L68)/100</f>
        <v>1.5820885615051259</v>
      </c>
      <c r="V68" s="157">
        <v>2.7042588973772475</v>
      </c>
      <c r="W68" s="148">
        <f>(V68*'ADC''s, Trout'!M68)/100</f>
        <v>2.542099673728961</v>
      </c>
      <c r="X68" s="52">
        <v>4.8805947430752719</v>
      </c>
      <c r="Y68" s="51">
        <f>(X68*'ADC''s, Trout'!N68)/100</f>
        <v>4.6681506382861944</v>
      </c>
      <c r="Z68" s="156">
        <v>3.0813467914338362</v>
      </c>
      <c r="AA68" s="148">
        <f>(Z68*'ADC''s, Trout'!O68)/100</f>
        <v>2.7925202468032548</v>
      </c>
      <c r="AB68" s="54">
        <v>0.62488851015091773</v>
      </c>
      <c r="AC68" s="51">
        <f>(AB68*'ADC''s, Trout'!P68)/100</f>
        <v>0.6510203159694713</v>
      </c>
      <c r="AD68" s="156">
        <v>3.4045649863394831</v>
      </c>
      <c r="AE68" s="148">
        <f>(AD68*'ADC''s, Trout'!Q68)/100</f>
        <v>3.1918898404656515</v>
      </c>
      <c r="AF68" s="54">
        <v>3.2752777083772244</v>
      </c>
      <c r="AG68" s="38">
        <f>(AF68*'ADC''s, Trout'!R68)/100</f>
        <v>3.0664396146294859</v>
      </c>
      <c r="AH68" s="156">
        <v>3.6308177227734362</v>
      </c>
      <c r="AI68" s="148">
        <f>(AH68*'ADC''s, Trout'!S68)/100</f>
        <v>3.4478185433788102</v>
      </c>
      <c r="AJ68" s="54">
        <v>2.6934849575470596</v>
      </c>
      <c r="AK68" s="51">
        <f>(AJ68*'ADC''s, Trout'!T68)/100</f>
        <v>2.3839749958532486</v>
      </c>
      <c r="AL68" s="156">
        <v>2.4672322211131066</v>
      </c>
      <c r="AM68" s="148">
        <f>(AL68*'ADC''s, Trout'!U68)/100</f>
        <v>2.3873507884330398</v>
      </c>
      <c r="AN68" s="156">
        <v>3.0921207312640244</v>
      </c>
      <c r="AO68" s="39">
        <f>(AN68*'ADC''s, Trout'!V68)/100</f>
        <v>2.8631705064059139</v>
      </c>
      <c r="AP68" s="147">
        <f t="shared" si="2"/>
        <v>60.732698822771091</v>
      </c>
      <c r="AQ68" s="148">
        <f>(AP68*'ADC''s, Trout'!W68)/100</f>
        <v>56.653583424796125</v>
      </c>
      <c r="AR68" s="270">
        <v>0.26</v>
      </c>
      <c r="AS68" s="30" t="s">
        <v>174</v>
      </c>
      <c r="AT68" s="38">
        <v>94</v>
      </c>
      <c r="AU68" s="129">
        <v>86</v>
      </c>
      <c r="AV68" s="173">
        <v>0.34</v>
      </c>
      <c r="AW68" s="38">
        <v>30</v>
      </c>
      <c r="AX68" s="4">
        <f>0.00039*10000</f>
        <v>3.9</v>
      </c>
      <c r="AY68" s="129" t="s">
        <v>174</v>
      </c>
      <c r="AZ68" s="168">
        <v>0.76</v>
      </c>
      <c r="BA68" s="169">
        <f>('ADC''s, Trout'!X68)/100</f>
        <v>0.42816776835389475</v>
      </c>
      <c r="BB68" s="173">
        <v>2.2999999999999998</v>
      </c>
      <c r="BC68" s="173">
        <v>1.4E-2</v>
      </c>
      <c r="BD68" s="173">
        <v>0.43</v>
      </c>
      <c r="BE68" s="304">
        <v>5.3</v>
      </c>
      <c r="BF68" s="15"/>
    </row>
    <row r="69" spans="1:58">
      <c r="A69" s="31" t="s">
        <v>68</v>
      </c>
      <c r="B69" s="137">
        <v>93.963149758298016</v>
      </c>
      <c r="C69" s="137">
        <f>(B69*'ADC''s, Trout'!C69)/100</f>
        <v>94.291547793714997</v>
      </c>
      <c r="D69" s="158">
        <v>17.084255804763927</v>
      </c>
      <c r="E69" s="129">
        <f>(D69*'ADC''s, Trout'!D69)/100</f>
        <v>16.193073886049248</v>
      </c>
      <c r="F69" s="198">
        <v>78.131693316843737</v>
      </c>
      <c r="G69" s="148">
        <f>(F69*'ADC''s, Trout'!E69)/100</f>
        <v>76.801217888581675</v>
      </c>
      <c r="H69" s="59">
        <v>6102.453530718959</v>
      </c>
      <c r="I69" s="55">
        <f>(H69*'ADC''s, Trout'!F69)/100</f>
        <v>6043.0697361256471</v>
      </c>
      <c r="J69" s="52">
        <v>5.1828828775186135</v>
      </c>
      <c r="K69" s="51">
        <f>(J69*'ADC''s, Trout'!G69)/100</f>
        <v>5.1794995629226444</v>
      </c>
      <c r="L69" s="156">
        <v>6.2577723449300713</v>
      </c>
      <c r="M69" s="148">
        <f>(L69*'ADC''s, Trout'!H69)/100</f>
        <v>6.1416352480207435</v>
      </c>
      <c r="N69" s="54">
        <v>7.9392826008806683</v>
      </c>
      <c r="O69" s="51">
        <f>(N69*'ADC''s, Trout'!I69)/100</f>
        <v>7.9392826008806683</v>
      </c>
      <c r="P69" s="156">
        <v>12.153700710731533</v>
      </c>
      <c r="Q69" s="148">
        <f>(P69*'ADC''s, Trout'!J69)/100</f>
        <v>12.153700710731533</v>
      </c>
      <c r="R69" s="157">
        <v>4.7358991385950366</v>
      </c>
      <c r="S69" s="148">
        <f>(R69*'ADC''s, Trout'!K69)/100</f>
        <v>4.4844871684545824</v>
      </c>
      <c r="T69" s="52">
        <v>2.1817063447460279</v>
      </c>
      <c r="U69" s="51">
        <f>(T69*'ADC''s, Trout'!L69)/100</f>
        <v>2.1701786217428043</v>
      </c>
      <c r="V69" s="157">
        <v>3.8312891907735129</v>
      </c>
      <c r="W69" s="148">
        <f>(V69*'ADC''s, Trout'!M69)/100</f>
        <v>3.832527907317524</v>
      </c>
      <c r="X69" s="52">
        <v>6.8750356034435809</v>
      </c>
      <c r="Y69" s="51">
        <f>(X69*'ADC''s, Trout'!N69)/100</f>
        <v>6.8750356034435809</v>
      </c>
      <c r="Z69" s="156">
        <v>5.7043639062627856</v>
      </c>
      <c r="AA69" s="148">
        <f>(Z69*'ADC''s, Trout'!O69)/100</f>
        <v>5.6573026750718221</v>
      </c>
      <c r="AB69" s="54">
        <v>1.6921527259249682</v>
      </c>
      <c r="AC69" s="51">
        <f>(AB69*'ADC''s, Trout'!P69)/100</f>
        <v>1.6921527259249682</v>
      </c>
      <c r="AD69" s="156">
        <v>3.6397247312348373</v>
      </c>
      <c r="AE69" s="148">
        <f>(AD69*'ADC''s, Trout'!Q69)/100</f>
        <v>3.5921133590102214</v>
      </c>
      <c r="AF69" s="54">
        <v>3.7993617808504001</v>
      </c>
      <c r="AG69" s="38">
        <f>(AF69*'ADC''s, Trout'!R69)/100</f>
        <v>3.7993617808504001</v>
      </c>
      <c r="AH69" s="156">
        <v>3.8738590706709961</v>
      </c>
      <c r="AI69" s="148">
        <f>(AH69*'ADC''s, Trout'!S69)/100</f>
        <v>3.8738590706709961</v>
      </c>
      <c r="AJ69" s="54">
        <v>4.1399208200302677</v>
      </c>
      <c r="AK69" s="51">
        <f>(AJ69*'ADC''s, Trout'!T69)/100</f>
        <v>4.1399208200302677</v>
      </c>
      <c r="AL69" s="156">
        <v>3.0331039426956976</v>
      </c>
      <c r="AM69" s="148">
        <f>(AL69*'ADC''s, Trout'!U69)/100</f>
        <v>3.0331039426956976</v>
      </c>
      <c r="AN69" s="156">
        <v>4.5443346790563606</v>
      </c>
      <c r="AO69" s="39">
        <f>(AN69*'ADC''s, Trout'!V69)/100</f>
        <v>4.5412596193983656</v>
      </c>
      <c r="AP69" s="147">
        <f t="shared" si="2"/>
        <v>79.584390468345362</v>
      </c>
      <c r="AQ69" s="148">
        <f>(AP69*'ADC''s, Trout'!W69)/100</f>
        <v>79.834098894175526</v>
      </c>
      <c r="AR69" s="270">
        <v>0.87</v>
      </c>
      <c r="AS69" s="173" t="s">
        <v>174</v>
      </c>
      <c r="AT69" s="38">
        <v>16</v>
      </c>
      <c r="AU69" s="129">
        <v>79.000000000000014</v>
      </c>
      <c r="AV69" s="173">
        <v>7.3999999999999996E-2</v>
      </c>
      <c r="AW69" s="38">
        <v>0.96000000000000008</v>
      </c>
      <c r="AX69" s="129" t="s">
        <v>174</v>
      </c>
      <c r="AY69" s="129" t="s">
        <v>174</v>
      </c>
      <c r="AZ69" s="168">
        <v>0.91</v>
      </c>
      <c r="BA69" s="169">
        <f>('ADC''s, Trout'!X69)/100</f>
        <v>0.7756720293785766</v>
      </c>
      <c r="BB69" s="173">
        <v>0.38</v>
      </c>
      <c r="BC69" s="173">
        <v>0.15</v>
      </c>
      <c r="BD69" s="173">
        <v>0.77</v>
      </c>
      <c r="BE69" s="304">
        <v>7.9</v>
      </c>
      <c r="BF69" s="15"/>
    </row>
    <row r="70" spans="1:58">
      <c r="A70" s="43" t="s">
        <v>195</v>
      </c>
      <c r="B70" s="137">
        <v>93.111651695363051</v>
      </c>
      <c r="C70" s="137">
        <f>(B70*'ADC''s, Trout'!C70)/100</f>
        <v>65.239876143262009</v>
      </c>
      <c r="D70" s="158">
        <v>7.1205544951708788</v>
      </c>
      <c r="E70" s="129">
        <f>(D70*'ADC''s, Trout'!D70)/100</f>
        <v>5.8172093656371109</v>
      </c>
      <c r="F70" s="198">
        <v>66.570078901400066</v>
      </c>
      <c r="G70" s="148">
        <f>(F70*'ADC''s, Trout'!E70)/100</f>
        <v>56.686386939257474</v>
      </c>
      <c r="H70" s="58">
        <v>4671.5773706080854</v>
      </c>
      <c r="I70" s="55">
        <f>(H70*'ADC''s, Trout'!F70)/100</f>
        <v>4221.130681380967</v>
      </c>
      <c r="J70" s="52">
        <v>4.5858922296538367</v>
      </c>
      <c r="K70" s="51">
        <f>(J70*'ADC''s, Trout'!G70)/100</f>
        <v>4.1574362407582157</v>
      </c>
      <c r="L70" s="156">
        <v>4.6610707907957041</v>
      </c>
      <c r="M70" s="148">
        <f>(L70*'ADC''s, Trout'!H70)/100</f>
        <v>4.235327782216312</v>
      </c>
      <c r="N70" s="54">
        <v>6.497575641547007</v>
      </c>
      <c r="O70" s="51">
        <f>(N70*'ADC''s, Trout'!I70)/100</f>
        <v>5.6837120819383502</v>
      </c>
      <c r="P70" s="156">
        <v>9.5691568539146825</v>
      </c>
      <c r="Q70" s="148">
        <f>(P70*'ADC''s, Trout'!J70)/100</f>
        <v>9.2805267198130377</v>
      </c>
      <c r="R70" s="157">
        <v>5.2195401021352819</v>
      </c>
      <c r="S70" s="148">
        <f>(R70*'ADC''s, Trout'!K70)/100</f>
        <v>4.1030220709937177</v>
      </c>
      <c r="T70" s="52">
        <v>1.535790606183838</v>
      </c>
      <c r="U70" s="51">
        <f>(T70*'ADC''s, Trout'!L70)/100</f>
        <v>1.4168676726390732</v>
      </c>
      <c r="V70" s="157">
        <v>2.7923465566978871</v>
      </c>
      <c r="W70" s="148">
        <f>(V70*'ADC''s, Trout'!M70)/100</f>
        <v>2.6479939513291373</v>
      </c>
      <c r="X70" s="52">
        <v>5.101402363198063</v>
      </c>
      <c r="Y70" s="51">
        <f>(X70*'ADC''s, Trout'!N70)/100</f>
        <v>4.9464946449331446</v>
      </c>
      <c r="Z70" s="156">
        <v>4.4033157240235905</v>
      </c>
      <c r="AA70" s="148">
        <f>(Z70*'ADC''s, Trout'!O70)/100</f>
        <v>4.1224676110691538</v>
      </c>
      <c r="AB70" s="54">
        <v>1.3854334839001055</v>
      </c>
      <c r="AC70" s="51">
        <f>(AB70*'ADC''s, Trout'!P70)/100</f>
        <v>1.3705826252558488</v>
      </c>
      <c r="AD70" s="156">
        <v>2.8460455289420774</v>
      </c>
      <c r="AE70" s="148">
        <f>(AD70*'ADC''s, Trout'!Q70)/100</f>
        <v>2.5923782789582823</v>
      </c>
      <c r="AF70" s="54">
        <v>3.4045148402816547</v>
      </c>
      <c r="AG70" s="38">
        <f>(AF70*'ADC''s, Trout'!R70)/100</f>
        <v>2.9077443809939187</v>
      </c>
      <c r="AH70" s="156">
        <v>3.1038005957141901</v>
      </c>
      <c r="AI70" s="148">
        <f>(AH70*'ADC''s, Trout'!S70)/100</f>
        <v>2.9115157124223332</v>
      </c>
      <c r="AJ70" s="54">
        <v>3.1574995679583799</v>
      </c>
      <c r="AK70" s="51">
        <f>(AJ70*'ADC''s, Trout'!T70)/100</f>
        <v>2.9191920424917872</v>
      </c>
      <c r="AL70" s="156">
        <v>2.298316012051338</v>
      </c>
      <c r="AM70" s="148">
        <f>(AL70*'ADC''s, Trout'!U70)/100</f>
        <v>2.2096805471752696</v>
      </c>
      <c r="AN70" s="156">
        <v>3.6085709348095771</v>
      </c>
      <c r="AO70" s="39">
        <f>(AN70*'ADC''s, Trout'!V70)/100</f>
        <v>3.3810162086188997</v>
      </c>
      <c r="AP70" s="147">
        <f t="shared" si="2"/>
        <v>64.170271831807213</v>
      </c>
      <c r="AQ70" s="148">
        <f>(AP70*'ADC''s, Trout'!W70)/100</f>
        <v>58.898585168024098</v>
      </c>
      <c r="AR70" s="270">
        <v>5.0999999999999996</v>
      </c>
      <c r="AS70" s="173">
        <v>1.6</v>
      </c>
      <c r="AT70" s="38">
        <v>29.999999999999996</v>
      </c>
      <c r="AU70" s="129">
        <v>1000</v>
      </c>
      <c r="AV70" s="173">
        <v>0.21</v>
      </c>
      <c r="AW70" s="38">
        <v>66</v>
      </c>
      <c r="AX70" s="129" t="s">
        <v>174</v>
      </c>
      <c r="AY70" s="129" t="s">
        <v>174</v>
      </c>
      <c r="AZ70" s="168">
        <v>3.3</v>
      </c>
      <c r="BA70" s="169">
        <f>('ADC''s, Trout'!X70)/100</f>
        <v>0.33864891227464322</v>
      </c>
      <c r="BB70" s="173">
        <v>0.73</v>
      </c>
      <c r="BC70" s="173">
        <v>0.42</v>
      </c>
      <c r="BD70" s="173">
        <v>0.78</v>
      </c>
      <c r="BE70" s="304">
        <v>10</v>
      </c>
      <c r="BF70" s="15"/>
    </row>
    <row r="71" spans="1:58">
      <c r="A71" s="31" t="s">
        <v>154</v>
      </c>
      <c r="B71" s="137">
        <v>97.39004067739134</v>
      </c>
      <c r="C71" s="137">
        <f>(B71*'ADC''s, Trout'!C71)/100</f>
        <v>52.676924543216856</v>
      </c>
      <c r="D71" s="158">
        <v>1.1281989795457485</v>
      </c>
      <c r="E71" s="129">
        <f>(D71*'ADC''s, Trout'!D71)/100</f>
        <v>0</v>
      </c>
      <c r="F71" s="198">
        <v>59.959929777045609</v>
      </c>
      <c r="G71" s="148">
        <f>(F71*'ADC''s, Trout'!E71)/100</f>
        <v>54.495008346930362</v>
      </c>
      <c r="H71" s="58">
        <v>4515.2177978510999</v>
      </c>
      <c r="I71" s="55">
        <f>(H71*'ADC''s, Trout'!F71)/100</f>
        <v>2947.1946431902425</v>
      </c>
      <c r="J71" s="52">
        <v>2.8853052945200472</v>
      </c>
      <c r="K71" s="51">
        <f>(J71*'ADC''s, Trout'!G71)/100</f>
        <v>2.6791075393166337</v>
      </c>
      <c r="L71" s="156">
        <v>4.9697073400274121</v>
      </c>
      <c r="M71" s="148">
        <f>(L71*'ADC''s, Trout'!H71)/100</f>
        <v>4.8624457962341427</v>
      </c>
      <c r="N71" s="54">
        <v>7.1875932603702246</v>
      </c>
      <c r="O71" s="51">
        <f>(N71*'ADC''s, Trout'!I71)/100</f>
        <v>6.29015940825985</v>
      </c>
      <c r="P71" s="156">
        <v>11.61309711068389</v>
      </c>
      <c r="Q71" s="148">
        <f>(P71*'ADC''s, Trout'!J71)/100</f>
        <v>10.797175300114768</v>
      </c>
      <c r="R71" s="157">
        <v>2.7107494581967702</v>
      </c>
      <c r="S71" s="148">
        <f>(R71*'ADC''s, Trout'!K71)/100</f>
        <v>2.2409619480059733</v>
      </c>
      <c r="T71" s="52">
        <v>1.5093945846777472</v>
      </c>
      <c r="U71" s="51">
        <f>(T71*'ADC''s, Trout'!L71)/100</f>
        <v>1.393083149323332</v>
      </c>
      <c r="V71" s="157">
        <v>2.700481467824813</v>
      </c>
      <c r="W71" s="148">
        <f>(V71*'ADC''s, Trout'!M71)/100</f>
        <v>2.5405385784898034</v>
      </c>
      <c r="X71" s="52">
        <v>4.8772954266797948</v>
      </c>
      <c r="Y71" s="51">
        <f>(X71*'ADC''s, Trout'!N71)/100</f>
        <v>4.6641254950479292</v>
      </c>
      <c r="Z71" s="156">
        <v>3.1522730441909412</v>
      </c>
      <c r="AA71" s="148">
        <f>(Z71*'ADC''s, Trout'!O71)/100</f>
        <v>2.933210122676472</v>
      </c>
      <c r="AB71" s="54">
        <v>0.6263474126894053</v>
      </c>
      <c r="AC71" s="51">
        <f>(AB71*'ADC''s, Trout'!P71)/100</f>
        <v>0.57040789904799327</v>
      </c>
      <c r="AD71" s="156">
        <v>3.234416967166601</v>
      </c>
      <c r="AE71" s="148">
        <f>(AD71*'ADC''s, Trout'!Q71)/100</f>
        <v>2.6643191395608739</v>
      </c>
      <c r="AF71" s="54">
        <v>3.347364861258133</v>
      </c>
      <c r="AG71" s="38">
        <f>(AF71*'ADC''s, Trout'!R71)/100</f>
        <v>3.0029524397297589</v>
      </c>
      <c r="AH71" s="156">
        <v>3.6246006013009846</v>
      </c>
      <c r="AI71" s="148">
        <f>(AH71*'ADC''s, Trout'!S71)/100</f>
        <v>3.3461892145638403</v>
      </c>
      <c r="AJ71" s="54">
        <v>2.700481467824813</v>
      </c>
      <c r="AK71" s="51">
        <f>(AJ71*'ADC''s, Trout'!T71)/100</f>
        <v>2.3940724372951774</v>
      </c>
      <c r="AL71" s="156">
        <v>2.371905775922174</v>
      </c>
      <c r="AM71" s="148">
        <f>(AL71*'ADC''s, Trout'!U71)/100</f>
        <v>2.3046704561856521</v>
      </c>
      <c r="AN71" s="156">
        <v>3.2446849575385586</v>
      </c>
      <c r="AO71" s="39">
        <f>(AN71*'ADC''s, Trout'!V71)/100</f>
        <v>3.0070066715002071</v>
      </c>
      <c r="AP71" s="147">
        <f t="shared" si="2"/>
        <v>60.755699030872314</v>
      </c>
      <c r="AQ71" s="148">
        <f>(AP71*'ADC''s, Trout'!W71)/100</f>
        <v>55.6984783349357</v>
      </c>
      <c r="AR71" s="270">
        <v>0.28999999999999998</v>
      </c>
      <c r="AS71" s="173" t="s">
        <v>174</v>
      </c>
      <c r="AT71" s="38">
        <v>119.99999999999999</v>
      </c>
      <c r="AU71" s="129">
        <v>140</v>
      </c>
      <c r="AV71" s="173">
        <v>0.28000000000000003</v>
      </c>
      <c r="AW71" s="38">
        <v>46</v>
      </c>
      <c r="AX71" s="4">
        <f>0.00037*10000</f>
        <v>3.6999999999999997</v>
      </c>
      <c r="AY71" s="4">
        <f>0.00037*10000</f>
        <v>3.6999999999999997</v>
      </c>
      <c r="AZ71" s="168">
        <v>0.87</v>
      </c>
      <c r="BA71" s="169">
        <f>('ADC''s, Trout'!X71)/100</f>
        <v>0</v>
      </c>
      <c r="BB71" s="173">
        <v>1.8</v>
      </c>
      <c r="BC71" s="173" t="s">
        <v>174</v>
      </c>
      <c r="BD71" s="173">
        <v>0.48</v>
      </c>
      <c r="BE71" s="304">
        <v>4.2</v>
      </c>
      <c r="BF71" s="15"/>
    </row>
    <row r="72" spans="1:58">
      <c r="A72" s="43" t="s">
        <v>189</v>
      </c>
      <c r="B72" s="53">
        <v>96.177281658145958</v>
      </c>
      <c r="C72" s="137">
        <f>(B72*'ADC''s, Trout'!C72)/100</f>
        <v>78.123135812791944</v>
      </c>
      <c r="D72" s="158">
        <v>6.5912143659852021</v>
      </c>
      <c r="E72" s="129">
        <f>(D72*'ADC''s, Trout'!D72)/100</f>
        <v>5.9995813027253089</v>
      </c>
      <c r="F72" s="198">
        <v>81.976219997815093</v>
      </c>
      <c r="G72" s="148">
        <f>(F72*'ADC''s, Trout'!E72)/100</f>
        <v>73.282616832934096</v>
      </c>
      <c r="H72" s="58">
        <v>5731.2756245207656</v>
      </c>
      <c r="I72" s="55">
        <f>(H72*'ADC''s, Trout'!F72)/100</f>
        <v>4871.601564582128</v>
      </c>
      <c r="J72" s="52">
        <v>6.5400060092749088</v>
      </c>
      <c r="K72" s="51">
        <f>(J72*'ADC''s, Trout'!G72)/100</f>
        <v>5.9967426203663488</v>
      </c>
      <c r="L72" s="156">
        <v>6.0097352517661324</v>
      </c>
      <c r="M72" s="148">
        <f>(L72*'ADC''s, Trout'!H72)/100</f>
        <v>5.7525693874749155</v>
      </c>
      <c r="N72" s="54">
        <v>9.160167399318274</v>
      </c>
      <c r="O72" s="51">
        <f>(N72*'ADC''s, Trout'!I72)/100</f>
        <v>8.116488110075851</v>
      </c>
      <c r="P72" s="156">
        <v>11.052506181016261</v>
      </c>
      <c r="Q72" s="148">
        <f>(P72*'ADC''s, Trout'!J72)/100</f>
        <v>10.294150827638035</v>
      </c>
      <c r="R72" s="157">
        <v>4.1901787309026837</v>
      </c>
      <c r="S72" s="148">
        <f>(R72*'ADC''s, Trout'!K72)/100</f>
        <v>3.7858218386931362</v>
      </c>
      <c r="T72" s="52">
        <v>1.8507489183639645</v>
      </c>
      <c r="U72" s="51">
        <f>(T72*'ADC''s, Trout'!L72)/100</f>
        <v>1.7238648947221924</v>
      </c>
      <c r="V72" s="157">
        <v>4.0966015384011349</v>
      </c>
      <c r="W72" s="148">
        <f>(V72*'ADC''s, Trout'!M72)/100</f>
        <v>3.8362398759061551</v>
      </c>
      <c r="X72" s="52">
        <v>7.8084968409625697</v>
      </c>
      <c r="Y72" s="51">
        <f>(X72*'ADC''s, Trout'!N72)/100</f>
        <v>7.3655451323094052</v>
      </c>
      <c r="Z72" s="156">
        <v>4.1797812650691775</v>
      </c>
      <c r="AA72" s="148">
        <f>(Z72*'ADC''s, Trout'!O72)/100</f>
        <v>3.9125567664187786</v>
      </c>
      <c r="AB72" s="54">
        <v>1.6531970675273615</v>
      </c>
      <c r="AC72" s="51">
        <f>(AB72*'ADC''s, Trout'!P72)/100</f>
        <v>1.579569057216154</v>
      </c>
      <c r="AD72" s="156">
        <v>4.304550855071243</v>
      </c>
      <c r="AE72" s="148">
        <f>(AD72*'ADC''s, Trout'!Q72)/100</f>
        <v>3.6020975633878707</v>
      </c>
      <c r="AF72" s="54">
        <v>3.3271890667217341</v>
      </c>
      <c r="AG72" s="38">
        <f>(AF72*'ADC''s, Trout'!R72)/100</f>
        <v>3.1169732168610143</v>
      </c>
      <c r="AH72" s="156">
        <v>3.9094471533980375</v>
      </c>
      <c r="AI72" s="148">
        <f>(AH72*'ADC''s, Trout'!S72)/100</f>
        <v>3.440798490739049</v>
      </c>
      <c r="AJ72" s="54">
        <v>5.3962847675893126</v>
      </c>
      <c r="AK72" s="51">
        <f>(AJ72*'ADC''s, Trout'!T72)/100</f>
        <v>4.9856209475341906</v>
      </c>
      <c r="AL72" s="156">
        <v>3.2855992033877124</v>
      </c>
      <c r="AM72" s="148">
        <f>(AL72*'ADC''s, Trout'!U72)/100</f>
        <v>3.1195931261401593</v>
      </c>
      <c r="AN72" s="156">
        <v>6.1033124442676812</v>
      </c>
      <c r="AO72" s="39">
        <f>(AN72*'ADC''s, Trout'!V72)/100</f>
        <v>5.4547675330201173</v>
      </c>
      <c r="AP72" s="147">
        <f t="shared" si="2"/>
        <v>82.867802693038172</v>
      </c>
      <c r="AQ72" s="148">
        <f>(AP72*'ADC''s, Trout'!W72)/100</f>
        <v>76.117644673239241</v>
      </c>
      <c r="AR72" s="270">
        <v>1.4E-2</v>
      </c>
      <c r="AS72" s="173" t="s">
        <v>174</v>
      </c>
      <c r="AT72" s="38">
        <v>40.999999999999993</v>
      </c>
      <c r="AU72" s="129">
        <v>190</v>
      </c>
      <c r="AV72" s="173">
        <v>0.11</v>
      </c>
      <c r="AW72" s="38">
        <v>35</v>
      </c>
      <c r="AX72" s="4" t="s">
        <v>174</v>
      </c>
      <c r="AY72" s="129" t="s">
        <v>174</v>
      </c>
      <c r="AZ72" s="168">
        <v>1.1000000000000001</v>
      </c>
      <c r="BA72" s="169">
        <f>('ADC''s, Trout'!X72)/100</f>
        <v>0.65128841850580965</v>
      </c>
      <c r="BB72" s="173">
        <v>2.1999999999999999E-2</v>
      </c>
      <c r="BC72" s="173">
        <v>1.2E-2</v>
      </c>
      <c r="BD72" s="173">
        <v>0.81</v>
      </c>
      <c r="BE72" s="304">
        <v>0.73</v>
      </c>
      <c r="BF72" s="15"/>
    </row>
    <row r="73" spans="1:58" s="19" customFormat="1">
      <c r="A73" s="6"/>
      <c r="B73" s="138"/>
      <c r="C73" s="138"/>
      <c r="D73" s="129"/>
      <c r="E73" s="129"/>
      <c r="F73" s="4"/>
      <c r="G73" s="39"/>
      <c r="H73" s="59"/>
      <c r="I73" s="26"/>
      <c r="J73" s="4"/>
      <c r="K73" s="39"/>
      <c r="L73" s="4"/>
      <c r="M73" s="39"/>
      <c r="N73" s="4"/>
      <c r="O73" s="39"/>
      <c r="P73" s="4"/>
      <c r="Q73" s="39"/>
      <c r="R73" s="4"/>
      <c r="S73" s="39"/>
      <c r="T73" s="4"/>
      <c r="U73" s="39"/>
      <c r="V73" s="4"/>
      <c r="W73" s="39"/>
      <c r="X73" s="4"/>
      <c r="Y73" s="39"/>
      <c r="Z73" s="4"/>
      <c r="AA73" s="39"/>
      <c r="AB73" s="4"/>
      <c r="AC73" s="39"/>
      <c r="AD73" s="4"/>
      <c r="AE73" s="39"/>
      <c r="AF73" s="4"/>
      <c r="AG73" s="4"/>
      <c r="AH73" s="4"/>
      <c r="AI73" s="39"/>
      <c r="AJ73" s="4"/>
      <c r="AK73" s="39"/>
      <c r="AL73" s="4"/>
      <c r="AM73" s="39"/>
      <c r="AN73" s="4"/>
      <c r="AO73" s="39"/>
      <c r="AP73" s="85"/>
      <c r="AQ73" s="39"/>
      <c r="AR73" s="173"/>
      <c r="AS73" s="173"/>
      <c r="AT73" s="38"/>
      <c r="AU73" s="128"/>
      <c r="AV73" s="174"/>
      <c r="AW73" s="173"/>
      <c r="AX73" s="38"/>
      <c r="AY73" s="129"/>
      <c r="AZ73" s="129"/>
      <c r="BA73" s="129"/>
      <c r="BB73" s="173"/>
      <c r="BC73" s="173"/>
      <c r="BD73" s="173"/>
      <c r="BE73" s="173"/>
      <c r="BF73" s="20"/>
    </row>
    <row r="74" spans="1:58" s="19" customFormat="1">
      <c r="A74" s="6"/>
      <c r="B74" s="175"/>
      <c r="C74" s="175"/>
      <c r="D74" s="13"/>
      <c r="E74" s="13"/>
      <c r="F74" s="173"/>
      <c r="G74" s="39"/>
      <c r="H74" s="59"/>
      <c r="I74" s="26"/>
      <c r="J74" s="4"/>
      <c r="K74" s="39"/>
      <c r="L74" s="4"/>
      <c r="M74" s="39"/>
      <c r="N74" s="4"/>
      <c r="O74" s="39"/>
      <c r="P74" s="4"/>
      <c r="Q74" s="39"/>
      <c r="R74" s="4"/>
      <c r="S74" s="39"/>
      <c r="T74" s="4"/>
      <c r="U74" s="39"/>
      <c r="V74" s="4"/>
      <c r="W74" s="39"/>
      <c r="X74" s="4"/>
      <c r="Y74" s="39"/>
      <c r="Z74" s="4"/>
      <c r="AA74" s="39"/>
      <c r="AB74" s="4"/>
      <c r="AC74" s="39"/>
      <c r="AD74" s="4"/>
      <c r="AE74" s="39"/>
      <c r="AF74" s="4"/>
      <c r="AG74" s="4"/>
      <c r="AH74" s="4"/>
      <c r="AI74" s="39"/>
      <c r="AJ74" s="4"/>
      <c r="AK74" s="39"/>
      <c r="AL74" s="4"/>
      <c r="AM74" s="39"/>
      <c r="AN74" s="4"/>
      <c r="AO74" s="39"/>
      <c r="AP74" s="85"/>
      <c r="AQ74" s="39"/>
      <c r="AR74" s="173"/>
      <c r="AS74" s="173"/>
      <c r="AT74" s="38"/>
      <c r="AU74" s="128"/>
      <c r="AV74" s="174"/>
      <c r="AW74" s="173"/>
      <c r="AX74" s="38"/>
      <c r="AY74" s="129"/>
      <c r="AZ74" s="129"/>
      <c r="BA74" s="129"/>
      <c r="BB74" s="173"/>
      <c r="BC74" s="173"/>
      <c r="BD74" s="173"/>
      <c r="BE74" s="173"/>
      <c r="BF74" s="20"/>
    </row>
    <row r="75" spans="1:58" ht="18.75">
      <c r="A75" s="6"/>
      <c r="B75" s="91"/>
      <c r="C75" s="91"/>
      <c r="D75" s="105" t="s">
        <v>214</v>
      </c>
      <c r="E75" s="105"/>
      <c r="F75" s="143"/>
      <c r="G75" s="143"/>
      <c r="H75" s="91"/>
      <c r="I75" s="91"/>
      <c r="J75" s="154"/>
      <c r="K75" s="90"/>
      <c r="L75" s="154"/>
      <c r="M75" s="155"/>
      <c r="N75" s="90"/>
      <c r="O75" s="90"/>
      <c r="P75" s="154"/>
      <c r="Q75" s="155"/>
      <c r="R75" s="154"/>
      <c r="S75" s="155"/>
      <c r="T75" s="90"/>
      <c r="U75" s="90"/>
      <c r="V75" s="154"/>
      <c r="W75" s="155"/>
      <c r="X75" s="106" t="s">
        <v>218</v>
      </c>
      <c r="Y75" s="90"/>
      <c r="Z75" s="154"/>
      <c r="AA75" s="155"/>
      <c r="AB75" s="90"/>
      <c r="AC75" s="90"/>
      <c r="AD75" s="154"/>
      <c r="AE75" s="155"/>
      <c r="AF75" s="90"/>
      <c r="AG75" s="90"/>
      <c r="AH75" s="154"/>
      <c r="AI75" s="155"/>
      <c r="AJ75" s="90"/>
      <c r="AK75" s="90"/>
      <c r="AL75" s="154"/>
      <c r="AM75" s="155"/>
      <c r="AN75" s="154"/>
      <c r="AO75" s="260"/>
      <c r="AP75" s="144"/>
      <c r="AQ75" s="145"/>
      <c r="AR75" s="256"/>
      <c r="AS75" s="247"/>
      <c r="AT75" s="247"/>
      <c r="AU75" s="247"/>
      <c r="AV75" s="298"/>
      <c r="AW75" s="299" t="s">
        <v>239</v>
      </c>
      <c r="AX75" s="247"/>
      <c r="AY75" s="247"/>
      <c r="AZ75" s="165"/>
      <c r="BA75" s="166"/>
      <c r="BB75" s="247"/>
      <c r="BC75" s="247"/>
      <c r="BD75" s="247"/>
      <c r="BE75" s="300"/>
      <c r="BF75" s="15"/>
    </row>
    <row r="76" spans="1:58">
      <c r="A76" s="5"/>
      <c r="B76" s="455" t="s">
        <v>240</v>
      </c>
      <c r="C76" s="455"/>
      <c r="D76" s="452" t="s">
        <v>1</v>
      </c>
      <c r="E76" s="453"/>
      <c r="F76" s="452" t="s">
        <v>236</v>
      </c>
      <c r="G76" s="453"/>
      <c r="H76" s="455" t="s">
        <v>235</v>
      </c>
      <c r="I76" s="455"/>
      <c r="J76" s="449" t="s">
        <v>221</v>
      </c>
      <c r="K76" s="449"/>
      <c r="L76" s="446" t="s">
        <v>222</v>
      </c>
      <c r="M76" s="451"/>
      <c r="N76" s="449" t="s">
        <v>237</v>
      </c>
      <c r="O76" s="450"/>
      <c r="P76" s="446" t="s">
        <v>223</v>
      </c>
      <c r="Q76" s="451"/>
      <c r="R76" s="446" t="s">
        <v>224</v>
      </c>
      <c r="S76" s="451"/>
      <c r="T76" s="449" t="s">
        <v>225</v>
      </c>
      <c r="U76" s="450"/>
      <c r="V76" s="446" t="s">
        <v>226</v>
      </c>
      <c r="W76" s="451"/>
      <c r="X76" s="449" t="s">
        <v>227</v>
      </c>
      <c r="Y76" s="450"/>
      <c r="Z76" s="446" t="s">
        <v>219</v>
      </c>
      <c r="AA76" s="451"/>
      <c r="AB76" s="449" t="s">
        <v>228</v>
      </c>
      <c r="AC76" s="450"/>
      <c r="AD76" s="446" t="s">
        <v>229</v>
      </c>
      <c r="AE76" s="448"/>
      <c r="AF76" s="449" t="s">
        <v>230</v>
      </c>
      <c r="AG76" s="449"/>
      <c r="AH76" s="446" t="s">
        <v>231</v>
      </c>
      <c r="AI76" s="448"/>
      <c r="AJ76" s="449" t="s">
        <v>232</v>
      </c>
      <c r="AK76" s="449"/>
      <c r="AL76" s="446" t="s">
        <v>233</v>
      </c>
      <c r="AM76" s="451"/>
      <c r="AN76" s="446" t="s">
        <v>234</v>
      </c>
      <c r="AO76" s="454"/>
      <c r="AP76" s="446" t="s">
        <v>220</v>
      </c>
      <c r="AQ76" s="451"/>
      <c r="AR76" s="219" t="s">
        <v>4</v>
      </c>
      <c r="AS76" s="121" t="s">
        <v>5</v>
      </c>
      <c r="AT76" s="121" t="s">
        <v>6</v>
      </c>
      <c r="AU76" s="122" t="s">
        <v>7</v>
      </c>
      <c r="AV76" s="121" t="s">
        <v>8</v>
      </c>
      <c r="AW76" s="121" t="s">
        <v>9</v>
      </c>
      <c r="AX76" s="121" t="s">
        <v>10</v>
      </c>
      <c r="AY76" s="121" t="s">
        <v>11</v>
      </c>
      <c r="AZ76" s="457" t="s">
        <v>238</v>
      </c>
      <c r="BA76" s="458"/>
      <c r="BB76" s="121" t="s">
        <v>13</v>
      </c>
      <c r="BC76" s="121" t="s">
        <v>14</v>
      </c>
      <c r="BD76" s="121" t="s">
        <v>15</v>
      </c>
      <c r="BE76" s="220" t="s">
        <v>16</v>
      </c>
      <c r="BF76" s="15"/>
    </row>
    <row r="77" spans="1:58" ht="13.5" thickBot="1">
      <c r="A77" s="35" t="s">
        <v>81</v>
      </c>
      <c r="B77" s="149" t="s">
        <v>217</v>
      </c>
      <c r="C77" s="100" t="s">
        <v>215</v>
      </c>
      <c r="D77" s="149" t="s">
        <v>217</v>
      </c>
      <c r="E77" s="150" t="s">
        <v>215</v>
      </c>
      <c r="F77" s="149" t="s">
        <v>101</v>
      </c>
      <c r="G77" s="150" t="s">
        <v>215</v>
      </c>
      <c r="H77" s="100" t="s">
        <v>216</v>
      </c>
      <c r="I77" s="100" t="s">
        <v>215</v>
      </c>
      <c r="J77" s="146" t="s">
        <v>217</v>
      </c>
      <c r="K77" s="146" t="s">
        <v>215</v>
      </c>
      <c r="L77" s="151" t="s">
        <v>217</v>
      </c>
      <c r="M77" s="152" t="s">
        <v>215</v>
      </c>
      <c r="N77" s="146" t="s">
        <v>217</v>
      </c>
      <c r="O77" s="146" t="s">
        <v>215</v>
      </c>
      <c r="P77" s="151" t="s">
        <v>217</v>
      </c>
      <c r="Q77" s="152" t="s">
        <v>215</v>
      </c>
      <c r="R77" s="151" t="s">
        <v>217</v>
      </c>
      <c r="S77" s="152" t="s">
        <v>215</v>
      </c>
      <c r="T77" s="146" t="s">
        <v>217</v>
      </c>
      <c r="U77" s="146" t="s">
        <v>215</v>
      </c>
      <c r="V77" s="151" t="s">
        <v>217</v>
      </c>
      <c r="W77" s="152" t="s">
        <v>215</v>
      </c>
      <c r="X77" s="146" t="s">
        <v>217</v>
      </c>
      <c r="Y77" s="146" t="s">
        <v>215</v>
      </c>
      <c r="Z77" s="151" t="s">
        <v>217</v>
      </c>
      <c r="AA77" s="152" t="s">
        <v>215</v>
      </c>
      <c r="AB77" s="146" t="s">
        <v>217</v>
      </c>
      <c r="AC77" s="146" t="s">
        <v>215</v>
      </c>
      <c r="AD77" s="151" t="s">
        <v>217</v>
      </c>
      <c r="AE77" s="152" t="s">
        <v>215</v>
      </c>
      <c r="AF77" s="146" t="s">
        <v>217</v>
      </c>
      <c r="AG77" s="146" t="s">
        <v>215</v>
      </c>
      <c r="AH77" s="151" t="s">
        <v>217</v>
      </c>
      <c r="AI77" s="152" t="s">
        <v>215</v>
      </c>
      <c r="AJ77" s="146" t="s">
        <v>217</v>
      </c>
      <c r="AK77" s="146" t="s">
        <v>215</v>
      </c>
      <c r="AL77" s="151" t="s">
        <v>217</v>
      </c>
      <c r="AM77" s="152" t="s">
        <v>215</v>
      </c>
      <c r="AN77" s="151" t="s">
        <v>217</v>
      </c>
      <c r="AO77" s="146" t="s">
        <v>215</v>
      </c>
      <c r="AP77" s="151" t="s">
        <v>217</v>
      </c>
      <c r="AQ77" s="152" t="s">
        <v>215</v>
      </c>
      <c r="AR77" s="257" t="s">
        <v>93</v>
      </c>
      <c r="AS77" s="96" t="s">
        <v>91</v>
      </c>
      <c r="AT77" s="118" t="s">
        <v>91</v>
      </c>
      <c r="AU77" s="97" t="s">
        <v>91</v>
      </c>
      <c r="AV77" s="118" t="s">
        <v>93</v>
      </c>
      <c r="AW77" s="118" t="s">
        <v>91</v>
      </c>
      <c r="AX77" s="118" t="s">
        <v>91</v>
      </c>
      <c r="AY77" s="160" t="s">
        <v>91</v>
      </c>
      <c r="AZ77" s="161" t="s">
        <v>217</v>
      </c>
      <c r="BA77" s="162" t="s">
        <v>215</v>
      </c>
      <c r="BB77" s="159" t="s">
        <v>93</v>
      </c>
      <c r="BC77" s="118" t="s">
        <v>93</v>
      </c>
      <c r="BD77" s="118" t="s">
        <v>93</v>
      </c>
      <c r="BE77" s="301" t="s">
        <v>91</v>
      </c>
      <c r="BF77" s="15"/>
    </row>
    <row r="78" spans="1:58">
      <c r="A78" s="81" t="s">
        <v>195</v>
      </c>
      <c r="B78" s="54">
        <v>92.962632206266022</v>
      </c>
      <c r="C78" s="54">
        <f>(B78*'ADC''s, Trout'!C80)/100</f>
        <v>73.624607884712219</v>
      </c>
      <c r="D78" s="199">
        <v>7.9541664857711938</v>
      </c>
      <c r="E78" s="129">
        <f>(D78*'ADC''s, Trout'!D80)/100</f>
        <v>7.0885513034846461</v>
      </c>
      <c r="F78" s="203">
        <v>67.595439703744162</v>
      </c>
      <c r="G78" s="202">
        <f>(F78*'ADC''s, Trout'!E80)/100</f>
        <v>61.588820646327406</v>
      </c>
      <c r="H78" s="61">
        <v>4671.7402432880635</v>
      </c>
      <c r="I78" s="208">
        <f>(H78*'ADC''s, Trout'!F80)/100</f>
        <v>4612.0211548486213</v>
      </c>
      <c r="J78" s="38">
        <v>4.6362714756580328</v>
      </c>
      <c r="K78" s="51">
        <f>(J78*'ADC''s, Trout'!G80)/100</f>
        <v>4.227310905509869</v>
      </c>
      <c r="L78" s="156">
        <v>4.7653556002703219</v>
      </c>
      <c r="M78" s="148">
        <f>(L78*'ADC''s, Trout'!H80)/100</f>
        <v>4.5241690366991829</v>
      </c>
      <c r="N78" s="38">
        <v>6.6370754071485072</v>
      </c>
      <c r="O78" s="51">
        <f>(N78*'ADC''s, Trout'!I80)/100</f>
        <v>6.2993410274969817</v>
      </c>
      <c r="P78" s="156">
        <v>9.5629822316937165</v>
      </c>
      <c r="Q78" s="148">
        <f>(P78*'ADC''s, Trout'!J80)/100</f>
        <v>9.1713364244490148</v>
      </c>
      <c r="R78" s="156">
        <v>5.1956360156446175</v>
      </c>
      <c r="S78" s="148">
        <f>(R78*'ADC''s, Trout'!K80)/100</f>
        <v>4.115978489644526</v>
      </c>
      <c r="T78" s="38">
        <v>1.5490094953474636</v>
      </c>
      <c r="U78" s="51">
        <f>(T78*'ADC''s, Trout'!L80)/100</f>
        <v>1.5008657634881917</v>
      </c>
      <c r="V78" s="156">
        <v>2.8183367207016352</v>
      </c>
      <c r="W78" s="148">
        <f>(V78*'ADC''s, Trout'!M80)/100</f>
        <v>2.7801612263363871</v>
      </c>
      <c r="X78" s="38">
        <v>5.2279070467976902</v>
      </c>
      <c r="Y78" s="51">
        <f>(X78*'ADC''s, Trout'!N80)/100</f>
        <v>5.2279070467976911</v>
      </c>
      <c r="Z78" s="156">
        <v>4.4964303406613872</v>
      </c>
      <c r="AA78" s="148">
        <f>(Z78*'ADC''s, Trout'!O80)/100</f>
        <v>4.3525959630315461</v>
      </c>
      <c r="AB78" s="38">
        <v>1.3876543395821028</v>
      </c>
      <c r="AC78" s="51">
        <f>(AB78*'ADC''s, Trout'!P80)/100</f>
        <v>1.3250833305655334</v>
      </c>
      <c r="AD78" s="156">
        <v>2.9259068245452089</v>
      </c>
      <c r="AE78" s="148">
        <f>(AD78*'ADC''s, Trout'!Q80)/100</f>
        <v>2.7273685155875391</v>
      </c>
      <c r="AF78" s="38">
        <v>3.4745143541474359</v>
      </c>
      <c r="AG78" s="38">
        <f>(AF78*'ADC''s, Trout'!R80)/100</f>
        <v>2.895777809073147</v>
      </c>
      <c r="AH78" s="156">
        <v>3.1840750737697863</v>
      </c>
      <c r="AI78" s="148">
        <f>(AH78*'ADC''s, Trout'!S80)/100</f>
        <v>2.9867221372937305</v>
      </c>
      <c r="AJ78" s="38">
        <v>3.2808881672290027</v>
      </c>
      <c r="AK78" s="51">
        <f>(AJ78*'ADC''s, Trout'!T80)/100</f>
        <v>3.1548466220067843</v>
      </c>
      <c r="AL78" s="156">
        <v>2.3450282637899105</v>
      </c>
      <c r="AM78" s="148">
        <f>(AL78*'ADC''s, Trout'!U80)/100</f>
        <v>2.3055341369447744</v>
      </c>
      <c r="AN78" s="156">
        <v>3.6573835306815115</v>
      </c>
      <c r="AO78" s="305">
        <f>(AN78*'ADC''s, Trout'!V80)/100</f>
        <v>3.5267689231601764</v>
      </c>
      <c r="AP78" s="313">
        <f t="shared" ref="AP78:AP86" si="3">(J78+L78+N78+P78+R78+T78+V78+X78+Z78+AB78+AD78+AF78+AH78+AJ78+AL78+AN78)</f>
        <v>65.144454887668331</v>
      </c>
      <c r="AQ78" s="148">
        <f>(AP78*'ADC''s, Trout'!W80)/100</f>
        <v>61.110479604046731</v>
      </c>
      <c r="AR78" s="307">
        <v>5.9163557113965624</v>
      </c>
      <c r="AS78" s="62">
        <v>1.2908412461228862</v>
      </c>
      <c r="AT78" s="38">
        <v>50.557948806479715</v>
      </c>
      <c r="AU78" s="129">
        <v>1032.6729968983091</v>
      </c>
      <c r="AV78" s="62">
        <v>0.26892525960893465</v>
      </c>
      <c r="AW78" s="38">
        <v>75.299072690501703</v>
      </c>
      <c r="AX78" s="69" t="s">
        <v>174</v>
      </c>
      <c r="AY78" s="69" t="s">
        <v>174</v>
      </c>
      <c r="AZ78" s="170">
        <v>3.33467321915079</v>
      </c>
      <c r="BA78" s="171">
        <f>(AZ78*'ADC''s, Trout'!X80)/100</f>
        <v>1.4934547296099203</v>
      </c>
      <c r="BB78" s="62">
        <v>0.7637477372893744</v>
      </c>
      <c r="BC78" s="62">
        <v>0.57012155037094148</v>
      </c>
      <c r="BD78" s="62">
        <v>0.80677577882680396</v>
      </c>
      <c r="BE78" s="304">
        <v>10.757010384357386</v>
      </c>
      <c r="BF78" s="15"/>
    </row>
    <row r="79" spans="1:58">
      <c r="A79" s="81" t="s">
        <v>163</v>
      </c>
      <c r="B79" s="54">
        <v>93.535902360417666</v>
      </c>
      <c r="C79" s="54">
        <f>(B79*'ADC''s, Trout'!C81)/100</f>
        <v>48.213301988448912</v>
      </c>
      <c r="D79" s="199">
        <v>5.4068571607979168</v>
      </c>
      <c r="E79" s="129">
        <f>(D79*'ADC''s, Trout'!D81)/100</f>
        <v>4.2493397331275471</v>
      </c>
      <c r="F79" s="199">
        <v>40.824965640315959</v>
      </c>
      <c r="G79" s="148">
        <f>(F79*'ADC''s, Trout'!E81)/100</f>
        <v>33.900110306095975</v>
      </c>
      <c r="H79" s="61">
        <v>5335.1145646420391</v>
      </c>
      <c r="I79" s="207">
        <f>(H79*'ADC''s, Trout'!F81)/100</f>
        <v>3151.3420231862542</v>
      </c>
      <c r="J79" s="38">
        <v>3.3249264950867503</v>
      </c>
      <c r="K79" s="51">
        <f>(J79*'ADC''s, Trout'!G81)/100</f>
        <v>2.8003593581602466</v>
      </c>
      <c r="L79" s="156">
        <v>1.6891909524878024</v>
      </c>
      <c r="M79" s="148">
        <f>(L79*'ADC''s, Trout'!H81)/100</f>
        <v>1.5002935119815384</v>
      </c>
      <c r="N79" s="38">
        <v>2.8865921339981435</v>
      </c>
      <c r="O79" s="51">
        <f>(N79*'ADC''s, Trout'!I81)/100</f>
        <v>2.0168342488342628</v>
      </c>
      <c r="P79" s="156">
        <v>7.6548146960839656</v>
      </c>
      <c r="Q79" s="148">
        <f>(P79*'ADC''s, Trout'!J81)/100</f>
        <v>6.3903349667483562</v>
      </c>
      <c r="R79" s="156">
        <v>1.4112228210657589</v>
      </c>
      <c r="S79" s="148">
        <f>(R79*'ADC''s, Trout'!K81)/100</f>
        <v>0.79704088851135846</v>
      </c>
      <c r="T79" s="38">
        <v>1.0370349518437774</v>
      </c>
      <c r="U79" s="51">
        <f>(T79*'ADC''s, Trout'!L81)/100</f>
        <v>0.85174030986777294</v>
      </c>
      <c r="V79" s="156">
        <v>1.5715890507323225</v>
      </c>
      <c r="W79" s="148">
        <f>(V79*'ADC''s, Trout'!M81)/100</f>
        <v>1.2228221675180913</v>
      </c>
      <c r="X79" s="38">
        <v>5.8373307598629118</v>
      </c>
      <c r="Y79" s="51">
        <f>(X79*'ADC''s, Trout'!N81)/100</f>
        <v>5.2381212251632476</v>
      </c>
      <c r="Z79" s="156">
        <v>1.0477260338215484</v>
      </c>
      <c r="AA79" s="148">
        <f>(Z79*'ADC''s, Trout'!O81)/100</f>
        <v>0.72735853577950405</v>
      </c>
      <c r="AB79" s="38">
        <v>0.56662734482185773</v>
      </c>
      <c r="AC79" s="51">
        <f>(AB79*'ADC''s, Trout'!P81)/100</f>
        <v>0.42253382862495897</v>
      </c>
      <c r="AD79" s="156">
        <v>2.3306558711540566</v>
      </c>
      <c r="AE79" s="148">
        <f>(AD79*'ADC''s, Trout'!Q81)/100</f>
        <v>1.5667927911178778</v>
      </c>
      <c r="AF79" s="38">
        <v>3.8594805939752952</v>
      </c>
      <c r="AG79" s="38">
        <f>(AF79*'ADC''s, Trout'!R81)/100</f>
        <v>3.2042425419986333</v>
      </c>
      <c r="AH79" s="156">
        <v>2.4803310188428487</v>
      </c>
      <c r="AI79" s="148">
        <f>(AH79*'ADC''s, Trout'!S81)/100</f>
        <v>1.8136783624642061</v>
      </c>
      <c r="AJ79" s="38">
        <v>1.9030125920432204</v>
      </c>
      <c r="AK79" s="51">
        <f>(AJ79*'ADC''s, Trout'!T81)/100</f>
        <v>1.267513154179392</v>
      </c>
      <c r="AL79" s="156">
        <v>2.0099234118209295</v>
      </c>
      <c r="AM79" s="148">
        <f>(AL79*'ADC''s, Trout'!U81)/100</f>
        <v>1.7588000521530804</v>
      </c>
      <c r="AN79" s="156">
        <v>2.2237450513763473</v>
      </c>
      <c r="AO79" s="39">
        <f>(AN79*'ADC''s, Trout'!V81)/100</f>
        <v>1.7070348164416538</v>
      </c>
      <c r="AP79" s="147">
        <f t="shared" si="3"/>
        <v>41.834203779017535</v>
      </c>
      <c r="AQ79" s="148">
        <f>(AP79*'ADC''s, Trout'!W81)/100</f>
        <v>33.270826688329059</v>
      </c>
      <c r="AR79" s="307">
        <v>1.3898406571102171E-2</v>
      </c>
      <c r="AS79" s="62" t="s">
        <v>174</v>
      </c>
      <c r="AT79" s="38">
        <v>38.487895119975242</v>
      </c>
      <c r="AU79" s="129">
        <v>40.626111515529416</v>
      </c>
      <c r="AV79" s="62">
        <v>0.11760190175547991</v>
      </c>
      <c r="AW79" s="38">
        <v>5.2386301691077426</v>
      </c>
      <c r="AX79" s="69" t="s">
        <v>174</v>
      </c>
      <c r="AY79" s="69" t="s">
        <v>174</v>
      </c>
      <c r="AZ79" s="170">
        <v>0.40626111515529423</v>
      </c>
      <c r="BA79" s="171">
        <f>(AZ79*'ADC''s, Trout'!X81)/100</f>
        <v>0.36016155497310881</v>
      </c>
      <c r="BB79" s="62">
        <v>0.49178977097746146</v>
      </c>
      <c r="BC79" s="62">
        <v>0.17105731164433441</v>
      </c>
      <c r="BD79" s="62">
        <v>0.7590668204217339</v>
      </c>
      <c r="BE79" s="304">
        <v>11.760190175547992</v>
      </c>
      <c r="BF79" s="15"/>
    </row>
    <row r="80" spans="1:58">
      <c r="A80" s="81" t="s">
        <v>164</v>
      </c>
      <c r="B80" s="54">
        <v>85.824632334208943</v>
      </c>
      <c r="C80" s="54">
        <f>(B80*'ADC''s, Trout'!C82)/100</f>
        <v>43.291404301951154</v>
      </c>
      <c r="D80" s="199">
        <v>10.450401581352033</v>
      </c>
      <c r="E80" s="129">
        <f>(D80*'ADC''s, Trout'!D82)/100</f>
        <v>8.2639504609310013</v>
      </c>
      <c r="F80" s="199">
        <v>30.462117097330378</v>
      </c>
      <c r="G80" s="148">
        <f>(F80*'ADC''s, Trout'!E82)/100</f>
        <v>26.692776438469419</v>
      </c>
      <c r="H80" s="61">
        <v>5452.2026168178045</v>
      </c>
      <c r="I80" s="207">
        <f>(H80*'ADC''s, Trout'!F82)/100</f>
        <v>3226.8828773503715</v>
      </c>
      <c r="J80" s="38">
        <v>2.2138166495152891</v>
      </c>
      <c r="K80" s="51">
        <f>(J80*'ADC''s, Trout'!G82)/100</f>
        <v>2.0402971707951862</v>
      </c>
      <c r="L80" s="156">
        <v>1.3399416562855697</v>
      </c>
      <c r="M80" s="148">
        <f>(L80*'ADC''s, Trout'!H82)/100</f>
        <v>1.3201764727474734</v>
      </c>
      <c r="N80" s="38">
        <v>2.0390416508693452</v>
      </c>
      <c r="O80" s="51">
        <f>(N80*'ADC''s, Trout'!I82)/100</f>
        <v>1.8515119882729829</v>
      </c>
      <c r="P80" s="156">
        <v>4.4625882987597674</v>
      </c>
      <c r="Q80" s="148">
        <f>(P80*'ADC''s, Trout'!J82)/100</f>
        <v>4.2540002832319166</v>
      </c>
      <c r="R80" s="156">
        <v>1.2001216573688147</v>
      </c>
      <c r="S80" s="148">
        <f>(R80*'ADC''s, Trout'!K82)/100</f>
        <v>0.97538993190681311</v>
      </c>
      <c r="T80" s="38">
        <v>0.74570666088936055</v>
      </c>
      <c r="U80" s="51">
        <f>(T80*'ADC''s, Trout'!L82)/100</f>
        <v>0.67093594685508762</v>
      </c>
      <c r="V80" s="156">
        <v>1.0486499918756633</v>
      </c>
      <c r="W80" s="148">
        <f>(V80*'ADC''s, Trout'!M82)/100</f>
        <v>0.93329848070838817</v>
      </c>
      <c r="X80" s="38">
        <v>3.5654099723772554</v>
      </c>
      <c r="Y80" s="51">
        <f>(X80*'ADC''s, Trout'!N82)/100</f>
        <v>3.455514006433908</v>
      </c>
      <c r="Z80" s="156">
        <v>0.81561666034773816</v>
      </c>
      <c r="AA80" s="148">
        <f>(Z80*'ADC''s, Trout'!O82)/100</f>
        <v>0.64132849827232774</v>
      </c>
      <c r="AB80" s="38">
        <v>0.38450499702107654</v>
      </c>
      <c r="AC80" s="51">
        <f>(AB80*'ADC''s, Trout'!P82)/100</f>
        <v>0.38202639142106082</v>
      </c>
      <c r="AD80" s="156">
        <v>1.5147166549315136</v>
      </c>
      <c r="AE80" s="148">
        <f>(AD80*'ADC''s, Trout'!Q82)/100</f>
        <v>1.2424543589663335</v>
      </c>
      <c r="AF80" s="38">
        <v>2.4585016476196109</v>
      </c>
      <c r="AG80" s="38">
        <f>(AF80*'ADC''s, Trout'!R82)/100</f>
        <v>2.2731541905527504</v>
      </c>
      <c r="AH80" s="156">
        <v>1.6894916535774576</v>
      </c>
      <c r="AI80" s="148">
        <f>(AH80*'ADC''s, Trout'!S82)/100</f>
        <v>1.491371148969705</v>
      </c>
      <c r="AJ80" s="38">
        <v>1.4331549888967399</v>
      </c>
      <c r="AK80" s="51">
        <f>(AJ80*'ADC''s, Trout'!T82)/100</f>
        <v>1.1177540271469324</v>
      </c>
      <c r="AL80" s="156">
        <v>1.3049866565563812</v>
      </c>
      <c r="AM80" s="148">
        <f>(AL80*'ADC''s, Trout'!U82)/100</f>
        <v>1.2392093127164627</v>
      </c>
      <c r="AN80" s="156">
        <v>1.5729749878134951</v>
      </c>
      <c r="AO80" s="39">
        <f>(AN80*'ADC''s, Trout'!V82)/100</f>
        <v>1.3538422854196142</v>
      </c>
      <c r="AP80" s="147">
        <f t="shared" si="3"/>
        <v>27.78922478470508</v>
      </c>
      <c r="AQ80" s="148">
        <f>(AP80*'ADC''s, Trout'!W82)/100</f>
        <v>25.255501037361434</v>
      </c>
      <c r="AR80" s="307">
        <v>3.4954999729188779E-2</v>
      </c>
      <c r="AS80" s="62" t="s">
        <v>174</v>
      </c>
      <c r="AT80" s="38">
        <v>47.771832963224654</v>
      </c>
      <c r="AU80" s="129">
        <v>53.597666251422801</v>
      </c>
      <c r="AV80" s="62">
        <v>0.39615666359747287</v>
      </c>
      <c r="AW80" s="38">
        <v>17.477499864594385</v>
      </c>
      <c r="AX80" s="69" t="s">
        <v>174</v>
      </c>
      <c r="AY80" s="69" t="s">
        <v>174</v>
      </c>
      <c r="AZ80" s="170">
        <v>0.8738749932297194</v>
      </c>
      <c r="BA80" s="171">
        <f>(AZ80*'ADC''s, Trout'!X82)/100</f>
        <v>0.62761337234748238</v>
      </c>
      <c r="BB80" s="62">
        <v>1.2816833234035885</v>
      </c>
      <c r="BC80" s="62">
        <v>0.13981999891675512</v>
      </c>
      <c r="BD80" s="62">
        <v>1.0020433255700785</v>
      </c>
      <c r="BE80" s="304">
        <v>5.9423499539620916</v>
      </c>
      <c r="BF80" s="15"/>
    </row>
    <row r="81" spans="1:58">
      <c r="A81" s="81" t="s">
        <v>165</v>
      </c>
      <c r="B81" s="54">
        <v>84.267334392748751</v>
      </c>
      <c r="C81" s="54">
        <f>(B81*'ADC''s, Trout'!C83)/100</f>
        <v>33.473710380124636</v>
      </c>
      <c r="D81" s="199">
        <v>12.935392902665749</v>
      </c>
      <c r="E81" s="129">
        <f>(D81*'ADC''s, Trout'!D83)/100</f>
        <v>10.768119257477158</v>
      </c>
      <c r="F81" s="199">
        <v>32.501918088863619</v>
      </c>
      <c r="G81" s="148">
        <f>(F81*'ADC''s, Trout'!E83)/100</f>
        <v>26.253007603979899</v>
      </c>
      <c r="H81" s="61">
        <v>5704.9329786485796</v>
      </c>
      <c r="I81" s="207">
        <f>(H81*'ADC''s, Trout'!F83)/100</f>
        <v>3066.647553914016</v>
      </c>
      <c r="J81" s="38">
        <v>2.4457875816911447</v>
      </c>
      <c r="K81" s="51">
        <f>(J81*'ADC''s, Trout'!G83)/100</f>
        <v>2.0014626455765923</v>
      </c>
      <c r="L81" s="156">
        <v>1.5972974696537028</v>
      </c>
      <c r="M81" s="148">
        <f>(L81*'ADC''s, Trout'!H83)/100</f>
        <v>1.4418696231022947</v>
      </c>
      <c r="N81" s="38">
        <v>2.2547289690505461</v>
      </c>
      <c r="O81" s="51">
        <f>(N81*'ADC''s, Trout'!I83)/100</f>
        <v>1.5554090879007756</v>
      </c>
      <c r="P81" s="156">
        <v>4.8737746715213648</v>
      </c>
      <c r="Q81" s="148">
        <f>(P81*'ADC''s, Trout'!J83)/100</f>
        <v>4.0292021778987541</v>
      </c>
      <c r="R81" s="156">
        <v>1.3041827036771314</v>
      </c>
      <c r="S81" s="148">
        <f>(R81*'ADC''s, Trout'!K83)/100</f>
        <v>0.74616656152927618</v>
      </c>
      <c r="T81" s="38">
        <v>0.81763592614517155</v>
      </c>
      <c r="U81" s="51">
        <f>(T81*'ADC''s, Trout'!L83)/100</f>
        <v>0.64344500747716882</v>
      </c>
      <c r="V81" s="156">
        <v>1.1510984736731735</v>
      </c>
      <c r="W81" s="148">
        <f>(V81*'ADC''s, Trout'!M83)/100</f>
        <v>0.87711441761520614</v>
      </c>
      <c r="X81" s="38">
        <v>3.9054279142870243</v>
      </c>
      <c r="Y81" s="51">
        <f>(X81*'ADC''s, Trout'!N83)/100</f>
        <v>3.3719253092876555</v>
      </c>
      <c r="Z81" s="156">
        <v>0.92681227622551399</v>
      </c>
      <c r="AA81" s="148">
        <f>(Z81*'ADC''s, Trout'!O83)/100</f>
        <v>0.62602944858406295</v>
      </c>
      <c r="AB81" s="38">
        <v>0.42602510520481368</v>
      </c>
      <c r="AC81" s="51">
        <f>(AB81*'ADC''s, Trout'!P83)/100</f>
        <v>0.36375898663776579</v>
      </c>
      <c r="AD81" s="156">
        <v>1.6720595354695891</v>
      </c>
      <c r="AE81" s="148">
        <f>(AD81*'ADC''s, Trout'!Q83)/100</f>
        <v>1.145019041112711</v>
      </c>
      <c r="AF81" s="38">
        <v>2.6617668829370391</v>
      </c>
      <c r="AG81" s="38">
        <f>(AF81*'ADC''s, Trout'!R83)/100</f>
        <v>2.1257550030147949</v>
      </c>
      <c r="AH81" s="156">
        <v>1.8595580497380026</v>
      </c>
      <c r="AI81" s="148">
        <f>(AH81*'ADC''s, Trout'!S83)/100</f>
        <v>1.436354682610151</v>
      </c>
      <c r="AJ81" s="38">
        <v>1.5557629886448765</v>
      </c>
      <c r="AK81" s="51">
        <f>(AJ81*'ADC''s, Trout'!T83)/100</f>
        <v>1.1249383588413946</v>
      </c>
      <c r="AL81" s="156">
        <v>1.4477733380219295</v>
      </c>
      <c r="AM81" s="148">
        <f>(AL81*'ADC''s, Trout'!U83)/100</f>
        <v>1.2739808065156859</v>
      </c>
      <c r="AN81" s="156">
        <v>1.7254610110523652</v>
      </c>
      <c r="AO81" s="39">
        <f>(AN81*'ADC''s, Trout'!V83)/100</f>
        <v>1.313309492197738</v>
      </c>
      <c r="AP81" s="147">
        <f t="shared" si="3"/>
        <v>30.625152896993391</v>
      </c>
      <c r="AQ81" s="148">
        <f>(AP81*'ADC''s, Trout'!W83)/100</f>
        <v>24.036540574720654</v>
      </c>
      <c r="AR81" s="307">
        <v>5.102807666798604E-2</v>
      </c>
      <c r="AS81" s="62" t="s">
        <v>174</v>
      </c>
      <c r="AT81" s="38">
        <v>48.654677753195983</v>
      </c>
      <c r="AU81" s="129">
        <v>60.521672327146234</v>
      </c>
      <c r="AV81" s="62">
        <v>0.45094579381010919</v>
      </c>
      <c r="AW81" s="38">
        <v>21.360590233110436</v>
      </c>
      <c r="AX81" s="69" t="s">
        <v>174</v>
      </c>
      <c r="AY81" s="69" t="s">
        <v>174</v>
      </c>
      <c r="AZ81" s="170">
        <v>0.94935956591601944</v>
      </c>
      <c r="BA81" s="171">
        <f>(AZ81*'ADC''s, Trout'!X83)/100</f>
        <v>0.62478430672883012</v>
      </c>
      <c r="BB81" s="62">
        <v>1.4240393488740291</v>
      </c>
      <c r="BC81" s="62">
        <v>0.2492068860529551</v>
      </c>
      <c r="BD81" s="62">
        <v>0.7950886364546661</v>
      </c>
      <c r="BE81" s="304">
        <v>6.2895071241936282</v>
      </c>
      <c r="BF81" s="15"/>
    </row>
    <row r="82" spans="1:58">
      <c r="A82" s="81" t="s">
        <v>196</v>
      </c>
      <c r="B82" s="54">
        <v>91.862994141193994</v>
      </c>
      <c r="C82" s="54">
        <f>(B82*'ADC''s, Trout'!C84)/100</f>
        <v>56.317439532938039</v>
      </c>
      <c r="D82" s="199">
        <v>1.3722364619285909</v>
      </c>
      <c r="E82" s="129">
        <f>(D82*'ADC''s, Trout'!D84)/100</f>
        <v>0.50514439593942173</v>
      </c>
      <c r="F82" s="199">
        <v>50.579307915058521</v>
      </c>
      <c r="G82" s="148">
        <f>(F82*'ADC''s, Trout'!E84)/100</f>
        <v>45.917556199143725</v>
      </c>
      <c r="H82" s="61">
        <v>4718.8404759998139</v>
      </c>
      <c r="I82" s="207">
        <f>(H82*'ADC''s, Trout'!F84)/100</f>
        <v>3167.3663984761206</v>
      </c>
      <c r="J82" s="38">
        <v>2.329556117788635</v>
      </c>
      <c r="K82" s="51">
        <f>(J82*'ADC''s, Trout'!G84)/100</f>
        <v>2.1087253515653313</v>
      </c>
      <c r="L82" s="156">
        <v>4.1910238567692728</v>
      </c>
      <c r="M82" s="148">
        <f>(L82*'ADC''s, Trout'!H84)/100</f>
        <v>4.0173573138411491</v>
      </c>
      <c r="N82" s="38">
        <v>5.9980627144931677</v>
      </c>
      <c r="O82" s="51">
        <f>(N82*'ADC''s, Trout'!I84)/100</f>
        <v>5.391026883017167</v>
      </c>
      <c r="P82" s="156">
        <v>9.5032826674274684</v>
      </c>
      <c r="Q82" s="148">
        <f>(P82*'ADC''s, Trout'!J84)/100</f>
        <v>8.4807373200073393</v>
      </c>
      <c r="R82" s="156">
        <v>2.1880410265211006</v>
      </c>
      <c r="S82" s="148">
        <f>(R82*'ADC''s, Trout'!K84)/100</f>
        <v>1.8914319911111241</v>
      </c>
      <c r="T82" s="38">
        <v>1.3062931501618513</v>
      </c>
      <c r="U82" s="51">
        <f>(T82*'ADC''s, Trout'!L84)/100</f>
        <v>1.1739247800817423</v>
      </c>
      <c r="V82" s="156">
        <v>2.046525935253567</v>
      </c>
      <c r="W82" s="148">
        <f>(V82*'ADC''s, Trout'!M84)/100</f>
        <v>1.834726387354797</v>
      </c>
      <c r="X82" s="38">
        <v>4.0712803180044368</v>
      </c>
      <c r="Y82" s="51">
        <f>(X82*'ADC''s, Trout'!N84)/100</f>
        <v>3.6520188327706284</v>
      </c>
      <c r="Z82" s="156">
        <v>2.6887867340831444</v>
      </c>
      <c r="AA82" s="148">
        <f>(Z82*'ADC''s, Trout'!O84)/100</f>
        <v>2.5079544840777777</v>
      </c>
      <c r="AB82" s="38">
        <v>0.52251726006474053</v>
      </c>
      <c r="AC82" s="51">
        <f>(AB82*'ADC''s, Trout'!P84)/100</f>
        <v>0.46177026513930947</v>
      </c>
      <c r="AD82" s="156">
        <v>2.699672510334493</v>
      </c>
      <c r="AE82" s="148">
        <f>(AD82*'ADC''s, Trout'!Q84)/100</f>
        <v>2.3363879994719068</v>
      </c>
      <c r="AF82" s="38">
        <v>2.7649871678425852</v>
      </c>
      <c r="AG82" s="38">
        <f>(AF82*'ADC''s, Trout'!R84)/100</f>
        <v>2.3514875794470003</v>
      </c>
      <c r="AH82" s="156">
        <v>3.0371315741263043</v>
      </c>
      <c r="AI82" s="148">
        <f>(AH82*'ADC''s, Trout'!S84)/100</f>
        <v>2.6451628006966432</v>
      </c>
      <c r="AJ82" s="38">
        <v>2.2860130127832399</v>
      </c>
      <c r="AK82" s="51">
        <f>(AJ82*'ADC''s, Trout'!T84)/100</f>
        <v>1.9088916466098191</v>
      </c>
      <c r="AL82" s="156">
        <v>1.9050108439860334</v>
      </c>
      <c r="AM82" s="148">
        <f>(AL82*'ADC''s, Trout'!U84)/100</f>
        <v>1.7425969514591078</v>
      </c>
      <c r="AN82" s="156">
        <v>2.4710712090561691</v>
      </c>
      <c r="AO82" s="39">
        <f>(AN82*'ADC''s, Trout'!V84)/100</f>
        <v>2.1337930777604619</v>
      </c>
      <c r="AP82" s="147">
        <f t="shared" si="3"/>
        <v>50.009256098696206</v>
      </c>
      <c r="AQ82" s="148">
        <f>(AP82*'ADC''s, Trout'!W84)/100</f>
        <v>44.636443700508977</v>
      </c>
      <c r="AR82" s="307">
        <v>0.30480173503776531</v>
      </c>
      <c r="AS82" s="62">
        <v>0.13062931501618513</v>
      </c>
      <c r="AT82" s="38">
        <v>152.40086751888265</v>
      </c>
      <c r="AU82" s="129">
        <v>58.783191757283312</v>
      </c>
      <c r="AV82" s="62">
        <v>0.32657328754046283</v>
      </c>
      <c r="AW82" s="38">
        <v>27.214440628371907</v>
      </c>
      <c r="AX82" s="69">
        <f>0.000696689680086321*10000</f>
        <v>6.9668968008632106</v>
      </c>
      <c r="AY82" s="69">
        <f>0.000587831917572833*10000</f>
        <v>5.87831917572833</v>
      </c>
      <c r="AZ82" s="170">
        <v>0.76200433759441333</v>
      </c>
      <c r="BA82" s="171">
        <f>(AZ82*'ADC''s, Trout'!X84)/100</f>
        <v>0.25080306514973372</v>
      </c>
      <c r="BB82" s="62">
        <v>2.6125863003237026</v>
      </c>
      <c r="BC82" s="62" t="s">
        <v>174</v>
      </c>
      <c r="BD82" s="62">
        <v>0.43543105005395044</v>
      </c>
      <c r="BE82" s="304">
        <v>5.2251726006474062</v>
      </c>
      <c r="BF82" s="15"/>
    </row>
    <row r="83" spans="1:58">
      <c r="A83" s="81" t="s">
        <v>197</v>
      </c>
      <c r="B83" s="54">
        <v>91.187873480269147</v>
      </c>
      <c r="C83" s="54">
        <f>(B83*'ADC''s, Trout'!C85)/100</f>
        <v>52.104211645825359</v>
      </c>
      <c r="D83" s="199">
        <v>1.1887469233869448</v>
      </c>
      <c r="E83" s="129">
        <f>(D83*'ADC''s, Trout'!D85)/100</f>
        <v>0.54081751055182647</v>
      </c>
      <c r="F83" s="199">
        <v>57.433075255704964</v>
      </c>
      <c r="G83" s="148">
        <f>(F83*'ADC''s, Trout'!E85)/100</f>
        <v>49.245125437842255</v>
      </c>
      <c r="H83" s="61">
        <v>4800.4965275861805</v>
      </c>
      <c r="I83" s="207">
        <f>(H83*'ADC''s, Trout'!F85)/100</f>
        <v>3183.0925150245143</v>
      </c>
      <c r="J83" s="38">
        <v>2.6099961641445391</v>
      </c>
      <c r="K83" s="51">
        <f>(J83*'ADC''s, Trout'!G85)/100</f>
        <v>2.2229952762536858</v>
      </c>
      <c r="L83" s="156">
        <v>4.7265056585978833</v>
      </c>
      <c r="M83" s="148">
        <f>(L83*'ADC''s, Trout'!H85)/100</f>
        <v>4.3315367738808455</v>
      </c>
      <c r="N83" s="38">
        <v>7.0404098209277057</v>
      </c>
      <c r="O83" s="51">
        <f>(N83*'ADC''s, Trout'!I85)/100</f>
        <v>5.8677140797765155</v>
      </c>
      <c r="P83" s="156">
        <v>11.108933253270665</v>
      </c>
      <c r="Q83" s="148">
        <f>(P83*'ADC''s, Trout'!J85)/100</f>
        <v>9.6317907382938728</v>
      </c>
      <c r="R83" s="156">
        <v>2.5222652006438819</v>
      </c>
      <c r="S83" s="148">
        <f>(R83*'ADC''s, Trout'!K85)/100</f>
        <v>2.0438453199630882</v>
      </c>
      <c r="T83" s="38">
        <v>1.4585272681984187</v>
      </c>
      <c r="U83" s="51">
        <f>(T83*'ADC''s, Trout'!L85)/100</f>
        <v>1.2492255421707767</v>
      </c>
      <c r="V83" s="156">
        <v>2.4783997188935536</v>
      </c>
      <c r="W83" s="148">
        <f>(V83*'ADC''s, Trout'!M85)/100</f>
        <v>2.1184293104156691</v>
      </c>
      <c r="X83" s="38">
        <v>4.6497410655348093</v>
      </c>
      <c r="Y83" s="51">
        <f>(X83*'ADC''s, Trout'!N85)/100</f>
        <v>3.9366078393765598</v>
      </c>
      <c r="Z83" s="156">
        <v>3.0376846112102407</v>
      </c>
      <c r="AA83" s="148">
        <f>(Z83*'ADC''s, Trout'!O85)/100</f>
        <v>2.6768557580838386</v>
      </c>
      <c r="AB83" s="38">
        <v>0.60315037406701533</v>
      </c>
      <c r="AC83" s="51">
        <f>(AB83*'ADC''s, Trout'!P85)/100</f>
        <v>0.47439900951686959</v>
      </c>
      <c r="AD83" s="156">
        <v>3.1254155747108974</v>
      </c>
      <c r="AE83" s="148">
        <f>(AD83*'ADC''s, Trout'!Q85)/100</f>
        <v>2.5410394686950339</v>
      </c>
      <c r="AF83" s="38">
        <v>3.2460456495243006</v>
      </c>
      <c r="AG83" s="38">
        <f>(AF83*'ADC''s, Trout'!R85)/100</f>
        <v>2.7157215780779871</v>
      </c>
      <c r="AH83" s="156">
        <v>3.5202049104638529</v>
      </c>
      <c r="AI83" s="148">
        <f>(AH83*'ADC''s, Trout'!S85)/100</f>
        <v>2.9538015152708965</v>
      </c>
      <c r="AJ83" s="38">
        <v>2.5990297937069569</v>
      </c>
      <c r="AK83" s="51">
        <f>(AJ83*'ADC''s, Trout'!T85)/100</f>
        <v>2.0590525519869378</v>
      </c>
      <c r="AL83" s="156">
        <v>2.2590723101419119</v>
      </c>
      <c r="AM83" s="148">
        <f>(AL83*'ADC''s, Trout'!U85)/100</f>
        <v>1.9906838273974474</v>
      </c>
      <c r="AN83" s="156">
        <v>2.8622226842089273</v>
      </c>
      <c r="AO83" s="39">
        <f>(AN83*'ADC''s, Trout'!V85)/100</f>
        <v>2.3678725654306287</v>
      </c>
      <c r="AP83" s="147">
        <f t="shared" si="3"/>
        <v>57.847604058245551</v>
      </c>
      <c r="AQ83" s="148">
        <f>(AP83*'ADC''s, Trout'!W85)/100</f>
        <v>49.207371049496011</v>
      </c>
      <c r="AR83" s="307">
        <v>0.24126014962680611</v>
      </c>
      <c r="AS83" s="62" t="s">
        <v>174</v>
      </c>
      <c r="AT83" s="38">
        <v>164.49555656373147</v>
      </c>
      <c r="AU83" s="129">
        <v>37.285659487779128</v>
      </c>
      <c r="AV83" s="62">
        <v>0.31802474268988079</v>
      </c>
      <c r="AW83" s="38">
        <v>44.962118794086592</v>
      </c>
      <c r="AX83" s="69" t="s">
        <v>174</v>
      </c>
      <c r="AY83" s="69">
        <f>0.00103083882113272*10000</f>
        <v>10.3083882113272</v>
      </c>
      <c r="AZ83" s="170">
        <v>0.80054504194349307</v>
      </c>
      <c r="BA83" s="171">
        <f>(AZ83*'ADC''s, Trout'!X85)/100</f>
        <v>0.15060356000928191</v>
      </c>
      <c r="BB83" s="62">
        <v>2.7415926093955241</v>
      </c>
      <c r="BC83" s="62" t="s">
        <v>174</v>
      </c>
      <c r="BD83" s="62">
        <v>0.460587558378448</v>
      </c>
      <c r="BE83" s="304">
        <v>5.7025126275426903</v>
      </c>
      <c r="BF83" s="15"/>
    </row>
    <row r="84" spans="1:58">
      <c r="A84" s="81" t="s">
        <v>198</v>
      </c>
      <c r="B84" s="54">
        <v>87.496803093980077</v>
      </c>
      <c r="C84" s="54">
        <f>(B84*'ADC''s, Trout'!C86)/100</f>
        <v>61.13080310438535</v>
      </c>
      <c r="D84" s="199">
        <v>1.3432202762226784</v>
      </c>
      <c r="E84" s="129">
        <f>(D84*'ADC''s, Trout'!D86)/100</f>
        <v>1.3432202762226781</v>
      </c>
      <c r="F84" s="199">
        <v>56.718262738540048</v>
      </c>
      <c r="G84" s="148">
        <f>(F84*'ADC''s, Trout'!E86)/100</f>
        <v>54.181474510487767</v>
      </c>
      <c r="H84" s="61">
        <v>4790.4939972468364</v>
      </c>
      <c r="I84" s="207">
        <f>(H84*'ADC''s, Trout'!F86)/100</f>
        <v>3613.6195699555619</v>
      </c>
      <c r="J84" s="38">
        <v>2.6172384807480533</v>
      </c>
      <c r="K84" s="51">
        <f>(J84*'ADC''s, Trout'!G86)/100</f>
        <v>2.5527584660414386</v>
      </c>
      <c r="L84" s="156">
        <v>4.6401695335533164</v>
      </c>
      <c r="M84" s="148">
        <f>(L84*'ADC''s, Trout'!H86)/100</f>
        <v>4.5864150085285917</v>
      </c>
      <c r="N84" s="38">
        <v>7.0288282343233748</v>
      </c>
      <c r="O84" s="51">
        <f>(N84*'ADC''s, Trout'!I86)/100</f>
        <v>6.4923364824166523</v>
      </c>
      <c r="P84" s="156">
        <v>9.4174869350934323</v>
      </c>
      <c r="Q84" s="148">
        <f>(P84*'ADC''s, Trout'!J86)/100</f>
        <v>9.0631193874347851</v>
      </c>
      <c r="R84" s="156">
        <v>2.5486645467546545</v>
      </c>
      <c r="S84" s="148">
        <f>(R84*'ADC''s, Trout'!K86)/100</f>
        <v>2.3846670773164695</v>
      </c>
      <c r="T84" s="38">
        <v>1.462910591859174</v>
      </c>
      <c r="U84" s="51">
        <f>(T84*'ADC''s, Trout'!L86)/100</f>
        <v>1.4134923162878119</v>
      </c>
      <c r="V84" s="156">
        <v>2.4915196017601562</v>
      </c>
      <c r="W84" s="148">
        <f>(V84*'ADC''s, Trout'!M86)/100</f>
        <v>2.4152473138252359</v>
      </c>
      <c r="X84" s="38">
        <v>4.6744565005500167</v>
      </c>
      <c r="Y84" s="51">
        <f>(X84*'ADC''s, Trout'!N86)/100</f>
        <v>4.5245221930783099</v>
      </c>
      <c r="Z84" s="156">
        <v>3.0286820847084464</v>
      </c>
      <c r="AA84" s="148">
        <f>(Z84*'ADC''s, Trout'!O86)/100</f>
        <v>2.9333526245499346</v>
      </c>
      <c r="AB84" s="38">
        <v>0.617165405940589</v>
      </c>
      <c r="AC84" s="51">
        <f>(AB84*'ADC''s, Trout'!P86)/100</f>
        <v>0.617165405940589</v>
      </c>
      <c r="AD84" s="156">
        <v>3.1315429856985442</v>
      </c>
      <c r="AE84" s="148">
        <f>(AD84*'ADC''s, Trout'!Q86)/100</f>
        <v>2.8135967287135291</v>
      </c>
      <c r="AF84" s="38">
        <v>3.4972706336633377</v>
      </c>
      <c r="AG84" s="38">
        <f>(AF84*'ADC''s, Trout'!R86)/100</f>
        <v>3.2939673730028507</v>
      </c>
      <c r="AH84" s="156">
        <v>3.485841644664438</v>
      </c>
      <c r="AI84" s="148">
        <f>(AH84*'ADC''s, Trout'!S86)/100</f>
        <v>3.3540968779983449</v>
      </c>
      <c r="AJ84" s="38">
        <v>2.594380502750254</v>
      </c>
      <c r="AK84" s="51">
        <f>(AJ84*'ADC''s, Trout'!T86)/100</f>
        <v>2.4130245616902601</v>
      </c>
      <c r="AL84" s="156">
        <v>2.2400818437843601</v>
      </c>
      <c r="AM84" s="148">
        <f>(AL84*'ADC''s, Trout'!U86)/100</f>
        <v>2.20772922958471</v>
      </c>
      <c r="AN84" s="156">
        <v>2.8801052277227486</v>
      </c>
      <c r="AO84" s="39">
        <f>(AN84*'ADC''s, Trout'!V86)/100</f>
        <v>2.7520815835316479</v>
      </c>
      <c r="AP84" s="147">
        <f t="shared" si="3"/>
        <v>56.356344753574902</v>
      </c>
      <c r="AQ84" s="148">
        <f>(AP84*'ADC''s, Trout'!W86)/100</f>
        <v>53.904987600001697</v>
      </c>
      <c r="AR84" s="307">
        <v>0.22857977997799594</v>
      </c>
      <c r="AS84" s="62" t="s">
        <v>174</v>
      </c>
      <c r="AT84" s="38">
        <v>160.00584598459713</v>
      </c>
      <c r="AU84" s="129">
        <v>57.144944994498985</v>
      </c>
      <c r="AV84" s="62">
        <v>0.29715371397139473</v>
      </c>
      <c r="AW84" s="38">
        <v>43.430158195819224</v>
      </c>
      <c r="AX84" s="69" t="s">
        <v>174</v>
      </c>
      <c r="AY84" s="69">
        <f>0.00100575103190318*10000</f>
        <v>10.057510319031801</v>
      </c>
      <c r="AZ84" s="170">
        <v>0.75431327392738656</v>
      </c>
      <c r="BA84" s="171">
        <f>(AZ84*'ADC''s, Trout'!X86)/100</f>
        <v>0.24540750367711742</v>
      </c>
      <c r="BB84" s="62">
        <v>2.7429573597359513</v>
      </c>
      <c r="BC84" s="62" t="s">
        <v>174</v>
      </c>
      <c r="BD84" s="62">
        <v>0.44573057095709206</v>
      </c>
      <c r="BE84" s="304">
        <v>5.4859147194719018</v>
      </c>
      <c r="BF84" s="15"/>
    </row>
    <row r="85" spans="1:58">
      <c r="A85" s="88" t="s">
        <v>199</v>
      </c>
      <c r="B85" s="54">
        <v>93.375024065785382</v>
      </c>
      <c r="C85" s="54">
        <f>(B85*'ADC''s, Trout'!C87)/100</f>
        <v>27.561853323716377</v>
      </c>
      <c r="D85" s="199">
        <v>3.308612654884314</v>
      </c>
      <c r="E85" s="129">
        <f>(D85*'ADC''s, Trout'!D87)/100</f>
        <v>2.5160325021932222</v>
      </c>
      <c r="F85" s="199">
        <v>50.979371064432641</v>
      </c>
      <c r="G85" s="148">
        <f>(F85*'ADC''s, Trout'!E87)/100</f>
        <v>39.304415881669222</v>
      </c>
      <c r="H85" s="61">
        <v>4662.453952282558</v>
      </c>
      <c r="I85" s="207">
        <f>(H85*'ADC''s, Trout'!F87)/100</f>
        <v>3356.966845643442</v>
      </c>
      <c r="J85" s="38">
        <v>2.4417664389501783</v>
      </c>
      <c r="K85" s="51">
        <f>(J85*'ADC''s, Trout'!G87)/100</f>
        <v>1.8967632316332144</v>
      </c>
      <c r="L85" s="156">
        <v>4.3159292758636925</v>
      </c>
      <c r="M85" s="148">
        <f>(L85*'ADC''s, Trout'!H87)/100</f>
        <v>3.9082857944321017</v>
      </c>
      <c r="N85" s="38">
        <v>6.200801614702427</v>
      </c>
      <c r="O85" s="51">
        <f>(N85*'ADC''s, Trout'!I87)/100</f>
        <v>4.6482060216684422</v>
      </c>
      <c r="P85" s="156">
        <v>9.5742947211467531</v>
      </c>
      <c r="Q85" s="148">
        <f>(P85*'ADC''s, Trout'!J87)/100</f>
        <v>7.9806079035733664</v>
      </c>
      <c r="R85" s="156">
        <v>2.3346714196979779</v>
      </c>
      <c r="S85" s="148">
        <f>(R85*'ADC''s, Trout'!K87)/100</f>
        <v>1.6283651994456156</v>
      </c>
      <c r="T85" s="38">
        <v>1.3172687368020701</v>
      </c>
      <c r="U85" s="51">
        <f>(T85*'ADC''s, Trout'!L87)/100</f>
        <v>1.0624179812947021</v>
      </c>
      <c r="V85" s="156">
        <v>2.2811239100718774</v>
      </c>
      <c r="W85" s="148">
        <f>(V85*'ADC''s, Trout'!M87)/100</f>
        <v>1.8880756271059433</v>
      </c>
      <c r="X85" s="38">
        <v>4.1981247546862717</v>
      </c>
      <c r="Y85" s="51">
        <f>(X85*'ADC''s, Trout'!N87)/100</f>
        <v>3.3074253692962419</v>
      </c>
      <c r="Z85" s="156">
        <v>2.7737609986320013</v>
      </c>
      <c r="AA85" s="148">
        <f>(Z85*'ADC''s, Trout'!O87)/100</f>
        <v>2.3767497085981879</v>
      </c>
      <c r="AB85" s="38">
        <v>0.51405609241056394</v>
      </c>
      <c r="AC85" s="51">
        <f>(AB85*'ADC''s, Trout'!P87)/100</f>
        <v>0.3928929607051318</v>
      </c>
      <c r="AD85" s="156">
        <v>2.8273085082581013</v>
      </c>
      <c r="AE85" s="148">
        <f>(AD85*'ADC''s, Trout'!Q87)/100</f>
        <v>1.8805808301673397</v>
      </c>
      <c r="AF85" s="38">
        <v>2.8701465159589818</v>
      </c>
      <c r="AG85" s="38">
        <f>(AF85*'ADC''s, Trout'!R87)/100</f>
        <v>2.1901983202307944</v>
      </c>
      <c r="AH85" s="156">
        <v>3.1057555583138234</v>
      </c>
      <c r="AI85" s="148">
        <f>(AH85*'ADC''s, Trout'!S87)/100</f>
        <v>2.5359504691422017</v>
      </c>
      <c r="AJ85" s="38">
        <v>2.366799925473638</v>
      </c>
      <c r="AK85" s="51">
        <f>(AJ85*'ADC''s, Trout'!T87)/100</f>
        <v>1.7489193950134696</v>
      </c>
      <c r="AL85" s="156">
        <v>2.0990623773431358</v>
      </c>
      <c r="AM85" s="148">
        <f>(AL85*'ADC''s, Trout'!U87)/100</f>
        <v>1.7904023809609599</v>
      </c>
      <c r="AN85" s="156">
        <v>2.6345374736041403</v>
      </c>
      <c r="AO85" s="39">
        <f>(AN85*'ADC''s, Trout'!V87)/100</f>
        <v>2.1012046843733838</v>
      </c>
      <c r="AP85" s="147">
        <f t="shared" si="3"/>
        <v>51.855408321915625</v>
      </c>
      <c r="AQ85" s="148">
        <f>(AP85*'ADC''s, Trout'!W87)/100</f>
        <v>41.353865663629676</v>
      </c>
      <c r="AR85" s="307">
        <v>0.55689410011144425</v>
      </c>
      <c r="AS85" s="62">
        <v>0.17135203080352129</v>
      </c>
      <c r="AT85" s="38">
        <v>149.93302695308114</v>
      </c>
      <c r="AU85" s="129">
        <v>139.22352502786106</v>
      </c>
      <c r="AV85" s="62">
        <v>0.35341356353226266</v>
      </c>
      <c r="AW85" s="38">
        <v>38.55420693079229</v>
      </c>
      <c r="AX85" s="69">
        <f>0.000331994559681822*10000</f>
        <v>3.3199455968182199</v>
      </c>
      <c r="AY85" s="69">
        <f>0.000674698621288865*10000</f>
        <v>6.7469862128886504</v>
      </c>
      <c r="AZ85" s="170">
        <v>0.8888886597932667</v>
      </c>
      <c r="BA85" s="171">
        <f>(AZ85*'ADC''s, Trout'!X87)/100</f>
        <v>4.5329998308789324E-2</v>
      </c>
      <c r="BB85" s="62">
        <v>2.5702804620528195</v>
      </c>
      <c r="BC85" s="62">
        <v>2.9986605390616226E-2</v>
      </c>
      <c r="BD85" s="62">
        <v>0.43908957893402328</v>
      </c>
      <c r="BE85" s="304">
        <v>4.926370885601238</v>
      </c>
      <c r="BF85" s="15"/>
    </row>
    <row r="86" spans="1:58">
      <c r="A86" s="40" t="s">
        <v>65</v>
      </c>
      <c r="B86" s="54">
        <v>95.352333245517826</v>
      </c>
      <c r="C86" s="54">
        <f>(B86*'ADC''s, Trout'!C88)/100</f>
        <v>50.750747693693086</v>
      </c>
      <c r="D86" s="199">
        <v>3.3208976772532686</v>
      </c>
      <c r="E86" s="129">
        <f>(D86*'ADC''s, Trout'!D88)/100</f>
        <v>2.3380734596449786</v>
      </c>
      <c r="F86" s="199">
        <v>64.980056482165338</v>
      </c>
      <c r="G86" s="148">
        <f>(F86*'ADC''s, Trout'!E88)/100</f>
        <v>58.750881963980397</v>
      </c>
      <c r="H86" s="61">
        <v>4749.9115604629415</v>
      </c>
      <c r="I86" s="207">
        <f>(H86*'ADC''s, Trout'!F88)/100</f>
        <v>3169.9757416991597</v>
      </c>
      <c r="J86" s="38">
        <v>2.9364776977092149</v>
      </c>
      <c r="K86" s="51">
        <f>(J86*'ADC''s, Trout'!G88)/100</f>
        <v>2.7434974532748013</v>
      </c>
      <c r="L86" s="156">
        <v>5.8414931343715448</v>
      </c>
      <c r="M86" s="148">
        <f>(L86*'ADC''s, Trout'!H88)/100</f>
        <v>5.7672229297905213</v>
      </c>
      <c r="N86" s="38">
        <v>7.6872791157887654</v>
      </c>
      <c r="O86" s="51">
        <f>(N86*'ADC''s, Trout'!I88)/100</f>
        <v>6.4438754667653999</v>
      </c>
      <c r="P86" s="156">
        <v>11.357876237925284</v>
      </c>
      <c r="Q86" s="148">
        <f>(P86*'ADC''s, Trout'!J88)/100</f>
        <v>10.535059832748239</v>
      </c>
      <c r="R86" s="156">
        <v>2.8211160738706385</v>
      </c>
      <c r="S86" s="148">
        <f>(R86*'ADC''s, Trout'!K88)/100</f>
        <v>2.3726389237587</v>
      </c>
      <c r="T86" s="38">
        <v>1.5836004726931836</v>
      </c>
      <c r="U86" s="51">
        <f>(T86*'ADC''s, Trout'!L88)/100</f>
        <v>1.4553379936431565</v>
      </c>
      <c r="V86" s="156">
        <v>2.873553175615446</v>
      </c>
      <c r="W86" s="148">
        <f>(V86*'ADC''s, Trout'!M88)/100</f>
        <v>2.7128179905431251</v>
      </c>
      <c r="X86" s="38">
        <v>5.2227353337828184</v>
      </c>
      <c r="Y86" s="51">
        <f>(X86*'ADC''s, Trout'!N88)/100</f>
        <v>4.9878022575382372</v>
      </c>
      <c r="Z86" s="156">
        <v>3.2825625692249436</v>
      </c>
      <c r="AA86" s="148">
        <f>(Z86*'ADC''s, Trout'!O88)/100</f>
        <v>3.0713741276384185</v>
      </c>
      <c r="AB86" s="38">
        <v>0.6607074819845733</v>
      </c>
      <c r="AC86" s="51">
        <f>(AB86*'ADC''s, Trout'!P88)/100</f>
        <v>0.64010065926717852</v>
      </c>
      <c r="AD86" s="156">
        <v>3.5552354982979422</v>
      </c>
      <c r="AE86" s="148">
        <f>(AD86*'ADC''s, Trout'!Q88)/100</f>
        <v>3.0666912643036262</v>
      </c>
      <c r="AF86" s="38">
        <v>3.5237732372510577</v>
      </c>
      <c r="AG86" s="38">
        <f>(AF86*'ADC''s, Trout'!R88)/100</f>
        <v>3.2088518135317075</v>
      </c>
      <c r="AH86" s="156">
        <v>3.6915719628344412</v>
      </c>
      <c r="AI86" s="148">
        <f>(AH86*'ADC''s, Trout'!S88)/100</f>
        <v>3.4404027101264658</v>
      </c>
      <c r="AJ86" s="38">
        <v>2.8316034942195998</v>
      </c>
      <c r="AK86" s="51">
        <f>(AJ86*'ADC''s, Trout'!T88)/100</f>
        <v>2.4941550324255868</v>
      </c>
      <c r="AL86" s="156">
        <v>2.5903928261934861</v>
      </c>
      <c r="AM86" s="148">
        <f>(AL86*'ADC''s, Trout'!U88)/100</f>
        <v>2.5374327437192936</v>
      </c>
      <c r="AN86" s="156">
        <v>3.2720751488759823</v>
      </c>
      <c r="AO86" s="39">
        <f>(AN86*'ADC''s, Trout'!V88)/100</f>
        <v>3.0356333392086783</v>
      </c>
      <c r="AP86" s="147">
        <f t="shared" si="3"/>
        <v>63.732053460638909</v>
      </c>
      <c r="AQ86" s="148">
        <f>(AP86*'ADC''s, Trout'!W88)/100</f>
        <v>58.526900741234407</v>
      </c>
      <c r="AR86" s="307">
        <v>0.41949681395845928</v>
      </c>
      <c r="AS86" s="62" t="s">
        <v>174</v>
      </c>
      <c r="AT86" s="38">
        <v>115.36162383857628</v>
      </c>
      <c r="AU86" s="129">
        <v>178.28614593234519</v>
      </c>
      <c r="AV86" s="62">
        <v>0.39852197326053629</v>
      </c>
      <c r="AW86" s="38">
        <v>44.047165465638223</v>
      </c>
      <c r="AX86" s="69">
        <f>0.00049290875640119*10000</f>
        <v>4.9290875640118994</v>
      </c>
      <c r="AY86" s="48" t="s">
        <v>92</v>
      </c>
      <c r="AZ86" s="170">
        <v>0.88094330931276432</v>
      </c>
      <c r="BA86" s="171">
        <f>(AZ86*'ADC''s, Trout'!X88)/100</f>
        <v>0.25472277009706951</v>
      </c>
      <c r="BB86" s="62">
        <v>2.5169808837507555</v>
      </c>
      <c r="BC86" s="62">
        <v>1.5731130523442223E-2</v>
      </c>
      <c r="BD86" s="62">
        <v>0.56632069884391989</v>
      </c>
      <c r="BE86" s="304">
        <v>5.138835970991126</v>
      </c>
      <c r="BF86" s="15"/>
    </row>
    <row r="87" spans="1:58" s="19" customFormat="1">
      <c r="A87" s="31"/>
      <c r="B87" s="153"/>
      <c r="C87" s="153"/>
      <c r="D87" s="153"/>
      <c r="E87" s="153"/>
      <c r="F87" s="153"/>
      <c r="G87" s="39"/>
      <c r="H87" s="57"/>
      <c r="I87" s="26"/>
      <c r="J87" s="153"/>
      <c r="K87" s="39"/>
      <c r="L87" s="153"/>
      <c r="M87" s="39"/>
      <c r="N87" s="153"/>
      <c r="O87" s="39"/>
      <c r="P87" s="38"/>
      <c r="Q87" s="39"/>
      <c r="R87" s="153"/>
      <c r="S87" s="39"/>
      <c r="T87" s="153"/>
      <c r="U87" s="39"/>
      <c r="V87" s="153"/>
      <c r="W87" s="39"/>
      <c r="X87" s="153"/>
      <c r="Y87" s="39"/>
      <c r="Z87" s="153"/>
      <c r="AA87" s="39"/>
      <c r="AB87" s="153"/>
      <c r="AC87" s="39"/>
      <c r="AD87" s="153"/>
      <c r="AE87" s="39"/>
      <c r="AF87" s="153"/>
      <c r="AG87" s="153"/>
      <c r="AH87" s="153"/>
      <c r="AI87" s="39"/>
      <c r="AJ87" s="153"/>
      <c r="AK87" s="39"/>
      <c r="AL87" s="153"/>
      <c r="AM87" s="39"/>
      <c r="AN87" s="153"/>
      <c r="AO87" s="39"/>
      <c r="AP87" s="26"/>
      <c r="AQ87" s="39"/>
      <c r="AS87" s="20"/>
      <c r="AT87" s="38"/>
      <c r="AU87" s="128"/>
      <c r="AV87" s="24"/>
      <c r="AW87" s="38"/>
      <c r="AX87" s="38"/>
      <c r="AY87" s="38"/>
      <c r="AZ87" s="20"/>
      <c r="BA87" s="20"/>
      <c r="BB87" s="20"/>
      <c r="BC87" s="20"/>
      <c r="BD87" s="20"/>
      <c r="BF87" s="20"/>
    </row>
    <row r="88" spans="1:58" s="19" customFormat="1">
      <c r="A88" s="31"/>
      <c r="B88" s="153"/>
      <c r="C88" s="153"/>
      <c r="D88" s="153"/>
      <c r="E88" s="153"/>
      <c r="F88" s="153"/>
      <c r="G88" s="39"/>
      <c r="H88" s="57"/>
      <c r="I88" s="26"/>
      <c r="J88" s="153"/>
      <c r="K88" s="39"/>
      <c r="L88" s="153"/>
      <c r="M88" s="39"/>
      <c r="N88" s="153"/>
      <c r="O88" s="39"/>
      <c r="P88" s="38"/>
      <c r="Q88" s="39"/>
      <c r="R88" s="153"/>
      <c r="S88" s="39"/>
      <c r="T88" s="153"/>
      <c r="U88" s="39"/>
      <c r="V88" s="153"/>
      <c r="W88" s="39"/>
      <c r="X88" s="153"/>
      <c r="Y88" s="39"/>
      <c r="Z88" s="153"/>
      <c r="AA88" s="39"/>
      <c r="AB88" s="153"/>
      <c r="AC88" s="39"/>
      <c r="AD88" s="153"/>
      <c r="AE88" s="39"/>
      <c r="AF88" s="153"/>
      <c r="AG88" s="153"/>
      <c r="AH88" s="153"/>
      <c r="AI88" s="39"/>
      <c r="AJ88" s="153"/>
      <c r="AK88" s="39"/>
      <c r="AL88" s="153"/>
      <c r="AM88" s="39"/>
      <c r="AN88" s="153"/>
      <c r="AO88" s="39"/>
      <c r="AP88" s="26"/>
      <c r="AQ88" s="39"/>
      <c r="AS88" s="20"/>
      <c r="AT88" s="38"/>
      <c r="AU88" s="128"/>
      <c r="AV88" s="24"/>
      <c r="AW88" s="38"/>
      <c r="AX88" s="38"/>
      <c r="AY88" s="38"/>
      <c r="AZ88" s="20"/>
      <c r="BA88" s="20"/>
      <c r="BB88" s="20"/>
      <c r="BC88" s="20"/>
      <c r="BD88" s="20"/>
      <c r="BF88" s="20"/>
    </row>
    <row r="89" spans="1:58" s="19" customFormat="1">
      <c r="A89" s="6"/>
      <c r="B89" s="20"/>
      <c r="C89" s="20"/>
      <c r="D89" s="20"/>
      <c r="E89" s="20"/>
      <c r="F89" s="20"/>
      <c r="G89" s="39"/>
      <c r="H89" s="85"/>
      <c r="I89" s="26"/>
      <c r="J89" s="38"/>
      <c r="K89" s="39"/>
      <c r="L89" s="38"/>
      <c r="M89" s="39"/>
      <c r="N89" s="38"/>
      <c r="O89" s="39"/>
      <c r="P89" s="38"/>
      <c r="Q89" s="39"/>
      <c r="R89" s="38"/>
      <c r="S89" s="39"/>
      <c r="T89" s="38"/>
      <c r="U89" s="39"/>
      <c r="V89" s="38"/>
      <c r="W89" s="39"/>
      <c r="X89" s="38"/>
      <c r="Y89" s="39"/>
      <c r="Z89" s="38"/>
      <c r="AA89" s="39"/>
      <c r="AB89" s="38"/>
      <c r="AC89" s="39"/>
      <c r="AD89" s="38"/>
      <c r="AE89" s="39"/>
      <c r="AF89" s="38"/>
      <c r="AG89" s="38"/>
      <c r="AH89" s="38"/>
      <c r="AI89" s="39"/>
      <c r="AJ89" s="38"/>
      <c r="AK89" s="39"/>
      <c r="AL89" s="38"/>
      <c r="AM89" s="39"/>
      <c r="AN89" s="38"/>
      <c r="AO89" s="39"/>
      <c r="AP89" s="26"/>
      <c r="AQ89" s="39"/>
      <c r="AR89" s="176"/>
      <c r="AS89" s="20"/>
      <c r="AT89" s="38"/>
      <c r="AU89" s="128"/>
      <c r="AV89" s="177"/>
      <c r="AW89" s="20"/>
      <c r="AX89" s="38"/>
      <c r="AY89" s="139"/>
      <c r="AZ89" s="139"/>
      <c r="BA89" s="139"/>
      <c r="BB89" s="20"/>
      <c r="BC89" s="20"/>
      <c r="BD89" s="20"/>
      <c r="BE89" s="20"/>
      <c r="BF89" s="20"/>
    </row>
    <row r="90" spans="1:58" ht="18.75">
      <c r="A90" s="5"/>
      <c r="B90" s="91"/>
      <c r="C90" s="91"/>
      <c r="D90" s="105" t="s">
        <v>214</v>
      </c>
      <c r="E90" s="105"/>
      <c r="F90" s="143"/>
      <c r="G90" s="143"/>
      <c r="H90" s="91"/>
      <c r="I90" s="91"/>
      <c r="J90" s="154"/>
      <c r="K90" s="90"/>
      <c r="L90" s="154"/>
      <c r="M90" s="155"/>
      <c r="N90" s="90"/>
      <c r="O90" s="90"/>
      <c r="P90" s="154"/>
      <c r="Q90" s="155"/>
      <c r="R90" s="154"/>
      <c r="S90" s="155"/>
      <c r="T90" s="90"/>
      <c r="U90" s="90"/>
      <c r="V90" s="154"/>
      <c r="W90" s="155"/>
      <c r="X90" s="106" t="s">
        <v>218</v>
      </c>
      <c r="Y90" s="90"/>
      <c r="Z90" s="154"/>
      <c r="AA90" s="155"/>
      <c r="AB90" s="90"/>
      <c r="AC90" s="90"/>
      <c r="AD90" s="154"/>
      <c r="AE90" s="155"/>
      <c r="AF90" s="90"/>
      <c r="AG90" s="90"/>
      <c r="AH90" s="154"/>
      <c r="AI90" s="155"/>
      <c r="AJ90" s="90"/>
      <c r="AK90" s="90"/>
      <c r="AL90" s="154"/>
      <c r="AM90" s="155"/>
      <c r="AN90" s="154"/>
      <c r="AO90" s="260"/>
      <c r="AP90" s="144"/>
      <c r="AQ90" s="145"/>
      <c r="AR90" s="256"/>
      <c r="AS90" s="247"/>
      <c r="AT90" s="247"/>
      <c r="AU90" s="247"/>
      <c r="AV90" s="298"/>
      <c r="AW90" s="299" t="s">
        <v>239</v>
      </c>
      <c r="AX90" s="247"/>
      <c r="AY90" s="247"/>
      <c r="AZ90" s="165"/>
      <c r="BA90" s="166"/>
      <c r="BB90" s="247"/>
      <c r="BC90" s="247"/>
      <c r="BD90" s="247"/>
      <c r="BE90" s="300"/>
      <c r="BF90" s="15"/>
    </row>
    <row r="91" spans="1:58">
      <c r="A91" s="5"/>
      <c r="B91" s="455" t="s">
        <v>240</v>
      </c>
      <c r="C91" s="455"/>
      <c r="D91" s="452" t="s">
        <v>1</v>
      </c>
      <c r="E91" s="453"/>
      <c r="F91" s="452" t="s">
        <v>236</v>
      </c>
      <c r="G91" s="453"/>
      <c r="H91" s="455" t="s">
        <v>235</v>
      </c>
      <c r="I91" s="455"/>
      <c r="J91" s="449" t="s">
        <v>221</v>
      </c>
      <c r="K91" s="449"/>
      <c r="L91" s="446" t="s">
        <v>222</v>
      </c>
      <c r="M91" s="451"/>
      <c r="N91" s="449" t="s">
        <v>237</v>
      </c>
      <c r="O91" s="450"/>
      <c r="P91" s="446" t="s">
        <v>223</v>
      </c>
      <c r="Q91" s="451"/>
      <c r="R91" s="446" t="s">
        <v>224</v>
      </c>
      <c r="S91" s="451"/>
      <c r="T91" s="449" t="s">
        <v>225</v>
      </c>
      <c r="U91" s="450"/>
      <c r="V91" s="446" t="s">
        <v>226</v>
      </c>
      <c r="W91" s="451"/>
      <c r="X91" s="449" t="s">
        <v>227</v>
      </c>
      <c r="Y91" s="450"/>
      <c r="Z91" s="446" t="s">
        <v>219</v>
      </c>
      <c r="AA91" s="451"/>
      <c r="AB91" s="449" t="s">
        <v>228</v>
      </c>
      <c r="AC91" s="450"/>
      <c r="AD91" s="446" t="s">
        <v>229</v>
      </c>
      <c r="AE91" s="448"/>
      <c r="AF91" s="449" t="s">
        <v>230</v>
      </c>
      <c r="AG91" s="449"/>
      <c r="AH91" s="446" t="s">
        <v>231</v>
      </c>
      <c r="AI91" s="448"/>
      <c r="AJ91" s="449" t="s">
        <v>232</v>
      </c>
      <c r="AK91" s="449"/>
      <c r="AL91" s="446" t="s">
        <v>233</v>
      </c>
      <c r="AM91" s="451"/>
      <c r="AN91" s="446" t="s">
        <v>234</v>
      </c>
      <c r="AO91" s="454"/>
      <c r="AP91" s="446" t="s">
        <v>220</v>
      </c>
      <c r="AQ91" s="451"/>
      <c r="AR91" s="219" t="s">
        <v>4</v>
      </c>
      <c r="AS91" s="121" t="s">
        <v>5</v>
      </c>
      <c r="AT91" s="121" t="s">
        <v>6</v>
      </c>
      <c r="AU91" s="122" t="s">
        <v>7</v>
      </c>
      <c r="AV91" s="121" t="s">
        <v>8</v>
      </c>
      <c r="AW91" s="121" t="s">
        <v>9</v>
      </c>
      <c r="AX91" s="121" t="s">
        <v>10</v>
      </c>
      <c r="AY91" s="121" t="s">
        <v>11</v>
      </c>
      <c r="AZ91" s="457" t="s">
        <v>238</v>
      </c>
      <c r="BA91" s="458"/>
      <c r="BB91" s="121" t="s">
        <v>13</v>
      </c>
      <c r="BC91" s="121" t="s">
        <v>14</v>
      </c>
      <c r="BD91" s="121" t="s">
        <v>15</v>
      </c>
      <c r="BE91" s="220" t="s">
        <v>16</v>
      </c>
      <c r="BF91" s="15"/>
    </row>
    <row r="92" spans="1:58" ht="13.5" thickBot="1">
      <c r="A92" s="35" t="s">
        <v>82</v>
      </c>
      <c r="B92" s="149" t="s">
        <v>217</v>
      </c>
      <c r="C92" s="100" t="s">
        <v>215</v>
      </c>
      <c r="D92" s="149" t="s">
        <v>217</v>
      </c>
      <c r="E92" s="150" t="s">
        <v>215</v>
      </c>
      <c r="F92" s="149" t="s">
        <v>101</v>
      </c>
      <c r="G92" s="150" t="s">
        <v>215</v>
      </c>
      <c r="H92" s="100" t="s">
        <v>216</v>
      </c>
      <c r="I92" s="100" t="s">
        <v>215</v>
      </c>
      <c r="J92" s="146" t="s">
        <v>217</v>
      </c>
      <c r="K92" s="146" t="s">
        <v>215</v>
      </c>
      <c r="L92" s="151" t="s">
        <v>217</v>
      </c>
      <c r="M92" s="152" t="s">
        <v>215</v>
      </c>
      <c r="N92" s="146" t="s">
        <v>217</v>
      </c>
      <c r="O92" s="146" t="s">
        <v>215</v>
      </c>
      <c r="P92" s="151" t="s">
        <v>217</v>
      </c>
      <c r="Q92" s="152" t="s">
        <v>215</v>
      </c>
      <c r="R92" s="151" t="s">
        <v>217</v>
      </c>
      <c r="S92" s="152" t="s">
        <v>215</v>
      </c>
      <c r="T92" s="146" t="s">
        <v>217</v>
      </c>
      <c r="U92" s="146" t="s">
        <v>215</v>
      </c>
      <c r="V92" s="151" t="s">
        <v>217</v>
      </c>
      <c r="W92" s="152" t="s">
        <v>215</v>
      </c>
      <c r="X92" s="146" t="s">
        <v>217</v>
      </c>
      <c r="Y92" s="146" t="s">
        <v>215</v>
      </c>
      <c r="Z92" s="151" t="s">
        <v>217</v>
      </c>
      <c r="AA92" s="152" t="s">
        <v>215</v>
      </c>
      <c r="AB92" s="146" t="s">
        <v>217</v>
      </c>
      <c r="AC92" s="146" t="s">
        <v>215</v>
      </c>
      <c r="AD92" s="151" t="s">
        <v>217</v>
      </c>
      <c r="AE92" s="152" t="s">
        <v>215</v>
      </c>
      <c r="AF92" s="146" t="s">
        <v>217</v>
      </c>
      <c r="AG92" s="146" t="s">
        <v>215</v>
      </c>
      <c r="AH92" s="151" t="s">
        <v>217</v>
      </c>
      <c r="AI92" s="152" t="s">
        <v>215</v>
      </c>
      <c r="AJ92" s="146" t="s">
        <v>217</v>
      </c>
      <c r="AK92" s="146" t="s">
        <v>215</v>
      </c>
      <c r="AL92" s="151" t="s">
        <v>217</v>
      </c>
      <c r="AM92" s="152" t="s">
        <v>215</v>
      </c>
      <c r="AN92" s="151" t="s">
        <v>217</v>
      </c>
      <c r="AO92" s="146" t="s">
        <v>215</v>
      </c>
      <c r="AP92" s="151" t="s">
        <v>217</v>
      </c>
      <c r="AQ92" s="152" t="s">
        <v>215</v>
      </c>
      <c r="AR92" s="257" t="s">
        <v>93</v>
      </c>
      <c r="AS92" s="96" t="s">
        <v>91</v>
      </c>
      <c r="AT92" s="118" t="s">
        <v>91</v>
      </c>
      <c r="AU92" s="97" t="s">
        <v>91</v>
      </c>
      <c r="AV92" s="118" t="s">
        <v>93</v>
      </c>
      <c r="AW92" s="118" t="s">
        <v>91</v>
      </c>
      <c r="AX92" s="118" t="s">
        <v>91</v>
      </c>
      <c r="AY92" s="160" t="s">
        <v>91</v>
      </c>
      <c r="AZ92" s="161" t="s">
        <v>217</v>
      </c>
      <c r="BA92" s="162" t="s">
        <v>215</v>
      </c>
      <c r="BB92" s="159" t="s">
        <v>93</v>
      </c>
      <c r="BC92" s="118" t="s">
        <v>93</v>
      </c>
      <c r="BD92" s="118" t="s">
        <v>93</v>
      </c>
      <c r="BE92" s="301" t="s">
        <v>91</v>
      </c>
      <c r="BF92" s="15"/>
    </row>
    <row r="93" spans="1:58">
      <c r="A93" s="43" t="s">
        <v>195</v>
      </c>
      <c r="B93" s="54">
        <v>91.431970978158006</v>
      </c>
      <c r="C93" s="54">
        <f>(B93*'ADC''s, Trout'!C98)/100</f>
        <v>77.376078194770088</v>
      </c>
      <c r="D93" s="156">
        <v>6.2837224881556777</v>
      </c>
      <c r="E93" s="129">
        <f>(D93*'ADC''s, Trout'!D98)/100</f>
        <v>6.2837224881556777</v>
      </c>
      <c r="F93" s="204">
        <v>69.188052410148799</v>
      </c>
      <c r="G93" s="202">
        <f>(F93*'ADC''s, Trout'!E98)/100</f>
        <v>58.774446065177024</v>
      </c>
      <c r="H93" s="60">
        <v>4716.6899999999996</v>
      </c>
      <c r="I93" s="55">
        <f>(H93*'ADC''s, Trout'!F98)/100</f>
        <v>4716.6899999999996</v>
      </c>
      <c r="J93" s="54">
        <v>4.6045162922340568</v>
      </c>
      <c r="K93" s="51">
        <f>(J93*'ADC''s, Trout'!G98)/100</f>
        <v>4.0996404466978031</v>
      </c>
      <c r="L93" s="156">
        <v>4.8341952521792235</v>
      </c>
      <c r="M93" s="148">
        <f>(L93*'ADC''s, Trout'!H98)/100</f>
        <v>4.3065694946670519</v>
      </c>
      <c r="N93" s="54">
        <v>6.5403818117718906</v>
      </c>
      <c r="O93" s="51">
        <f>(N93*'ADC''s, Trout'!I98)/100</f>
        <v>5.7297525344513671</v>
      </c>
      <c r="P93" s="156">
        <v>9.5808937577126692</v>
      </c>
      <c r="Q93" s="148">
        <f>(P93*'ADC''s, Trout'!J98)/100</f>
        <v>9.4002543775618932</v>
      </c>
      <c r="R93" s="156">
        <v>5.1732451454316131</v>
      </c>
      <c r="S93" s="148">
        <f>(R93*'ADC''s, Trout'!K98)/100</f>
        <v>3.5707211016226057</v>
      </c>
      <c r="T93" s="54">
        <v>1.5202559729703893</v>
      </c>
      <c r="U93" s="51">
        <f>(T93*'ADC''s, Trout'!L98)/100</f>
        <v>1.4054113697933468</v>
      </c>
      <c r="V93" s="156">
        <v>2.8436442659877788</v>
      </c>
      <c r="W93" s="148">
        <f>(V93*'ADC''s, Trout'!M98)/100</f>
        <v>2.7495464851124876</v>
      </c>
      <c r="X93" s="54">
        <v>5.1623080521008902</v>
      </c>
      <c r="Y93" s="51">
        <f>(X93*'ADC''s, Trout'!N98)/100</f>
        <v>5.1623080521008902</v>
      </c>
      <c r="Z93" s="156">
        <v>4.5826421055726128</v>
      </c>
      <c r="AA93" s="148">
        <f>(Z93*'ADC''s, Trout'!O98)/100</f>
        <v>4.1884739481819757</v>
      </c>
      <c r="AB93" s="54">
        <v>2.0561735461757782</v>
      </c>
      <c r="AC93" s="51">
        <f>(AB93*'ADC''s, Trout'!P98)/100</f>
        <v>1.8950910858228249</v>
      </c>
      <c r="AD93" s="156">
        <v>2.8873926393106677</v>
      </c>
      <c r="AE93" s="148">
        <f>(AD93*'ADC''s, Trout'!Q98)/100</f>
        <v>2.6638866027426622</v>
      </c>
      <c r="AF93" s="54">
        <v>3.8061084790913347</v>
      </c>
      <c r="AG93" s="38">
        <f>(AF93*'ADC''s, Trout'!R98)/100</f>
        <v>3.336135254669649</v>
      </c>
      <c r="AH93" s="156">
        <v>3.1608199725787234</v>
      </c>
      <c r="AI93" s="148">
        <f>(AH93*'ADC''s, Trout'!S98)/100</f>
        <v>2.9183608477992764</v>
      </c>
      <c r="AJ93" s="54">
        <v>3.2045683459016119</v>
      </c>
      <c r="AK93" s="51">
        <f>(AJ93*'ADC''s, Trout'!T98)/100</f>
        <v>2.9745892464471377</v>
      </c>
      <c r="AL93" s="156">
        <v>2.4389718127510562</v>
      </c>
      <c r="AM93" s="148">
        <f>(AL93*'ADC''s, Trout'!U98)/100</f>
        <v>2.3647940934067995</v>
      </c>
      <c r="AN93" s="156">
        <v>3.6967375457841123</v>
      </c>
      <c r="AO93" s="305">
        <f>(AN93*'ADC''s, Trout'!V98)/100</f>
        <v>3.4853448393486088</v>
      </c>
      <c r="AP93" s="313">
        <f>(J93+L93+N93+P93+R93+T93+V93+X93+Z93+AB93+AD93+AF93+AH93+AJ93+AL93+AN93)</f>
        <v>66.092854997554412</v>
      </c>
      <c r="AQ93" s="148">
        <f>(AP93*'ADC''s, Trout'!W98)/100</f>
        <v>60.434381006158183</v>
      </c>
      <c r="AR93" s="253">
        <v>6.9997397316622241</v>
      </c>
      <c r="AS93" s="20">
        <v>1.5311930663011115</v>
      </c>
      <c r="AT93" s="38">
        <v>50.310629321322224</v>
      </c>
      <c r="AU93" s="129">
        <v>1312.451199686667</v>
      </c>
      <c r="AV93" s="20">
        <v>0.29530151992950004</v>
      </c>
      <c r="AW93" s="38">
        <v>84.215618646561154</v>
      </c>
      <c r="AX93" s="138" t="s">
        <v>174</v>
      </c>
      <c r="AY93" s="138" t="s">
        <v>174</v>
      </c>
      <c r="AZ93" s="163">
        <v>4.37483733228889</v>
      </c>
      <c r="BA93" s="164">
        <f>(AZ93*'ADC''s, Trout'!X98)/100</f>
        <v>1.655074578460729</v>
      </c>
      <c r="BB93" s="20">
        <v>0.89684165311922248</v>
      </c>
      <c r="BC93" s="20">
        <v>0.64528850651261127</v>
      </c>
      <c r="BD93" s="20">
        <v>1.0171496797571669</v>
      </c>
      <c r="BE93" s="304">
        <v>12.030802663794448</v>
      </c>
      <c r="BF93" s="15"/>
    </row>
    <row r="94" spans="1:58">
      <c r="A94" s="43" t="s">
        <v>200</v>
      </c>
      <c r="B94" s="54">
        <v>93.519241320066897</v>
      </c>
      <c r="C94" s="54">
        <f>(B94*'ADC''s, Trout'!C99)/100</f>
        <v>66.268000452566127</v>
      </c>
      <c r="D94" s="156">
        <v>2.6917376008741427</v>
      </c>
      <c r="E94" s="129">
        <f>(D94*'ADC''s, Trout'!D99)/100</f>
        <v>2.6917376008741427</v>
      </c>
      <c r="F94" s="156">
        <v>30.464853647060806</v>
      </c>
      <c r="G94" s="148">
        <f>(F94*'ADC''s, Trout'!E99)/100</f>
        <v>25.362175479187176</v>
      </c>
      <c r="H94" s="60">
        <v>4629.04</v>
      </c>
      <c r="I94" s="55">
        <f>(H94*'ADC''s, Trout'!F99)/100</f>
        <v>3501.5710477317912</v>
      </c>
      <c r="J94" s="54">
        <v>1.8285007190633364</v>
      </c>
      <c r="K94" s="51">
        <f>(J94*'ADC''s, Trout'!G99)/100</f>
        <v>1.4751071700977052</v>
      </c>
      <c r="L94" s="156">
        <v>1.8285007190633364</v>
      </c>
      <c r="M94" s="148">
        <f>(L94*'ADC''s, Trout'!H99)/100</f>
        <v>1.7555894849811535</v>
      </c>
      <c r="N94" s="54">
        <v>1.9995885056423619</v>
      </c>
      <c r="O94" s="51">
        <f>(N94*'ADC''s, Trout'!I99)/100</f>
        <v>1.5237601843192126</v>
      </c>
      <c r="P94" s="156">
        <v>2.8550274385374901</v>
      </c>
      <c r="Q94" s="148">
        <f>(P94*'ADC''s, Trout'!J99)/100</f>
        <v>1.8134581433306556</v>
      </c>
      <c r="R94" s="156">
        <v>1.3259303459874485</v>
      </c>
      <c r="S94" s="148">
        <f>(R94*'ADC''s, Trout'!K99)/100</f>
        <v>1.0441813222377143</v>
      </c>
      <c r="T94" s="54">
        <v>0.97306178616820826</v>
      </c>
      <c r="U94" s="51">
        <f>(T94*'ADC''s, Trout'!L99)/100</f>
        <v>0.88448769036860042</v>
      </c>
      <c r="V94" s="156">
        <v>1.4221672259381506</v>
      </c>
      <c r="W94" s="148">
        <f>(V94*'ADC''s, Trout'!M99)/100</f>
        <v>1.240448749181092</v>
      </c>
      <c r="X94" s="54">
        <v>3.3255188516298104</v>
      </c>
      <c r="Y94" s="51">
        <f>(X94*'ADC''s, Trout'!N99)/100</f>
        <v>2.8861594362876239</v>
      </c>
      <c r="Z94" s="156">
        <v>1.1655355460696122</v>
      </c>
      <c r="AA94" s="148">
        <f>(Z94*'ADC''s, Trout'!O99)/100</f>
        <v>1.008444906361758</v>
      </c>
      <c r="AB94" s="54">
        <v>0.50257037307588781</v>
      </c>
      <c r="AC94" s="51">
        <f>(AB94*'ADC''s, Trout'!P99)/100</f>
        <v>0.3825318567519343</v>
      </c>
      <c r="AD94" s="156">
        <v>1.571869039194798</v>
      </c>
      <c r="AE94" s="148">
        <f>(AD94*'ADC''s, Trout'!Q99)/100</f>
        <v>1.1621357377176709</v>
      </c>
      <c r="AF94" s="54">
        <v>1.7429568257738235</v>
      </c>
      <c r="AG94" s="38">
        <f>(AF94*'ADC''s, Trout'!R99)/100</f>
        <v>1.3929394369704513</v>
      </c>
      <c r="AH94" s="156">
        <v>1.78572877241858</v>
      </c>
      <c r="AI94" s="148">
        <f>(AH94*'ADC''s, Trout'!S99)/100</f>
        <v>1.3981056635156093</v>
      </c>
      <c r="AJ94" s="54">
        <v>1.6681059191454999</v>
      </c>
      <c r="AK94" s="51">
        <f>(AJ94*'ADC''s, Trout'!T99)/100</f>
        <v>1.3604112340423657</v>
      </c>
      <c r="AL94" s="156">
        <v>1.5504830658724198</v>
      </c>
      <c r="AM94" s="148">
        <f>(AL94*'ADC''s, Trout'!U99)/100</f>
        <v>1.3959900917547463</v>
      </c>
      <c r="AN94" s="156">
        <v>2.1065183722542531</v>
      </c>
      <c r="AO94" s="39">
        <f>(AN94*'ADC''s, Trout'!V99)/100</f>
        <v>1.8106692181305462</v>
      </c>
      <c r="AP94" s="147">
        <f>(J94+L94+N94+P94+R94+T94+V94+X94+Z94+AB94+AD94+AF94+AH94+AJ94+AL94+AN94)</f>
        <v>27.652063505835017</v>
      </c>
      <c r="AQ94" s="148">
        <f>(AP94*'ADC''s, Trout'!W99)/100</f>
        <v>22.514997513277564</v>
      </c>
      <c r="AR94" s="253">
        <v>0.12831583993426923</v>
      </c>
      <c r="AS94" s="175" t="s">
        <v>174</v>
      </c>
      <c r="AT94" s="38">
        <v>149.70181325664743</v>
      </c>
      <c r="AU94" s="129">
        <v>171.08778657902562</v>
      </c>
      <c r="AV94" s="20">
        <v>0.53464933305945495</v>
      </c>
      <c r="AW94" s="38">
        <v>17.108778657902562</v>
      </c>
      <c r="AX94" s="138" t="s">
        <v>174</v>
      </c>
      <c r="AY94" s="138" t="s">
        <v>174</v>
      </c>
      <c r="AZ94" s="163">
        <v>1.3900882659545832</v>
      </c>
      <c r="BA94" s="164">
        <f>(AZ94*'ADC''s, Trout'!X99)/100</f>
        <v>1.3900882659545832</v>
      </c>
      <c r="BB94" s="20">
        <v>2.031667465625929</v>
      </c>
      <c r="BC94" s="20">
        <v>0.29940362651329477</v>
      </c>
      <c r="BD94" s="20">
        <v>1.3900882659545832</v>
      </c>
      <c r="BE94" s="304">
        <v>5.5603530638183329</v>
      </c>
      <c r="BF94" s="15"/>
    </row>
    <row r="95" spans="1:58">
      <c r="A95" s="43" t="s">
        <v>201</v>
      </c>
      <c r="B95" s="54">
        <v>77.531957647748428</v>
      </c>
      <c r="C95" s="54">
        <f>(B95*'ADC''s, Trout'!C100)/100</f>
        <v>61.80077220892894</v>
      </c>
      <c r="D95" s="156">
        <v>7.111926744228259</v>
      </c>
      <c r="E95" s="129">
        <f>(D95*'ADC''s, Trout'!D100)/100</f>
        <v>7.111926744228259</v>
      </c>
      <c r="F95" s="156">
        <v>16.672479829193882</v>
      </c>
      <c r="G95" s="148">
        <f>(F95*'ADC''s, Trout'!E100)/100</f>
        <v>13.174077383171557</v>
      </c>
      <c r="H95" s="60">
        <v>3975.76</v>
      </c>
      <c r="I95" s="55">
        <f>(H95*'ADC''s, Trout'!F100)/100</f>
        <v>3192.5346928072477</v>
      </c>
      <c r="J95" s="54">
        <v>0.95186555633350745</v>
      </c>
      <c r="K95" s="51">
        <f>(J95*'ADC''s, Trout'!G100)/100</f>
        <v>0.69450287098924068</v>
      </c>
      <c r="L95" s="156">
        <v>1.4871287079302631</v>
      </c>
      <c r="M95" s="148">
        <f>(L95*'ADC''s, Trout'!H100)/100</f>
        <v>1.3127920830126489</v>
      </c>
      <c r="N95" s="54">
        <v>1.153072909704818</v>
      </c>
      <c r="O95" s="51">
        <f>(N95*'ADC''s, Trout'!I100)/100</f>
        <v>1.0000262324520233</v>
      </c>
      <c r="P95" s="156">
        <v>1.91146985702745</v>
      </c>
      <c r="Q95" s="148">
        <f>(P95*'ADC''s, Trout'!J100)/100</f>
        <v>1.6062054596552797</v>
      </c>
      <c r="R95" s="156">
        <v>1.1246975137165562</v>
      </c>
      <c r="S95" s="148">
        <f>(R95*'ADC''s, Trout'!K100)/100</f>
        <v>0.95988727832819376</v>
      </c>
      <c r="T95" s="54">
        <v>0.5971731064802358</v>
      </c>
      <c r="U95" s="51">
        <f>(T95*'ADC''s, Trout'!L100)/100</f>
        <v>0.52343754535411213</v>
      </c>
      <c r="V95" s="156">
        <v>0.35598224058001093</v>
      </c>
      <c r="W95" s="148">
        <f>(V95*'ADC''s, Trout'!M100)/100</f>
        <v>0.25835227277658168</v>
      </c>
      <c r="X95" s="54">
        <v>0.61265059520110576</v>
      </c>
      <c r="Y95" s="51">
        <f>(X95*'ADC''s, Trout'!N100)/100</f>
        <v>0.28364303361103682</v>
      </c>
      <c r="Z95" s="156">
        <v>0.90543309017089724</v>
      </c>
      <c r="AA95" s="148">
        <f>(Z95*'ADC''s, Trout'!O100)/100</f>
        <v>0.80192236467767575</v>
      </c>
      <c r="AB95" s="54">
        <v>0.10834242104609029</v>
      </c>
      <c r="AC95" s="51">
        <f>(AB95*'ADC''s, Trout'!P100)/100</f>
        <v>6.8742423749509618E-2</v>
      </c>
      <c r="AD95" s="156">
        <v>0.3314762167719667</v>
      </c>
      <c r="AE95" s="148">
        <f>(AD95*'ADC''s, Trout'!Q100)/100</f>
        <v>0.25216037915961986</v>
      </c>
      <c r="AF95" s="54">
        <v>0.58040582703262655</v>
      </c>
      <c r="AG95" s="38">
        <f>(AF95*'ADC''s, Trout'!R100)/100</f>
        <v>0.53554419977532408</v>
      </c>
      <c r="AH95" s="156">
        <v>0.89898413653720144</v>
      </c>
      <c r="AI95" s="148">
        <f>(AH95*'ADC''s, Trout'!S100)/100</f>
        <v>0.70818131454162303</v>
      </c>
      <c r="AJ95" s="54">
        <v>0.91704120671154987</v>
      </c>
      <c r="AK95" s="51">
        <f>(AJ95*'ADC''s, Trout'!T100)/100</f>
        <v>0.73401032383297515</v>
      </c>
      <c r="AL95" s="156">
        <v>0.4540063358121878</v>
      </c>
      <c r="AM95" s="148">
        <f>(AL95*'ADC''s, Trout'!U100)/100</f>
        <v>0.32136201290560018</v>
      </c>
      <c r="AN95" s="156">
        <v>0.64618515409632427</v>
      </c>
      <c r="AO95" s="39">
        <f>(AN95*'ADC''s, Trout'!V100)/100</f>
        <v>0.49855606854618012</v>
      </c>
      <c r="AP95" s="147">
        <f>(J95+L95+N95+P95+R95+T95+V95+X95+Z95+AB95+AD95+AF95+AH95+AJ95+AL95+AN95)</f>
        <v>13.035914875152791</v>
      </c>
      <c r="AQ95" s="148">
        <f>(AP95*'ADC''s, Trout'!W100)/100</f>
        <v>10.574367971418326</v>
      </c>
      <c r="AR95" s="253">
        <v>0.10189346741239443</v>
      </c>
      <c r="AS95" s="20">
        <v>0.63199745610219338</v>
      </c>
      <c r="AT95" s="38">
        <v>114.79137467978616</v>
      </c>
      <c r="AU95" s="129">
        <v>309.54977441740084</v>
      </c>
      <c r="AV95" s="20">
        <v>3.0954977441740086</v>
      </c>
      <c r="AW95" s="38">
        <v>112.21179322630778</v>
      </c>
      <c r="AX95" s="138" t="s">
        <v>174</v>
      </c>
      <c r="AY95" s="38">
        <f>0.0109632211772829*10000</f>
        <v>109.63221177282901</v>
      </c>
      <c r="AZ95" s="163">
        <v>6.8358908517176005</v>
      </c>
      <c r="BA95" s="164">
        <f>(AZ95*'ADC''s, Trout'!X100)/100</f>
        <v>5.8632538346286687</v>
      </c>
      <c r="BB95" s="20">
        <v>10.963221177282946</v>
      </c>
      <c r="BC95" s="20">
        <v>1.2510970049369952</v>
      </c>
      <c r="BD95" s="20">
        <v>5.8040582703262649</v>
      </c>
      <c r="BE95" s="304">
        <v>34.824349621957595</v>
      </c>
      <c r="BF95" s="15"/>
    </row>
    <row r="96" spans="1:58">
      <c r="A96" s="43" t="s">
        <v>156</v>
      </c>
      <c r="B96" s="54">
        <v>94.06884934910444</v>
      </c>
      <c r="C96" s="54">
        <f>(B96*'ADC''s, Trout'!C101)/100</f>
        <v>34.121156460058657</v>
      </c>
      <c r="D96" s="156">
        <v>3.0095193600844579</v>
      </c>
      <c r="E96" s="129">
        <f>(D96*'ADC''s, Trout'!D101)/100</f>
        <v>0</v>
      </c>
      <c r="F96" s="156">
        <v>37.996637832096802</v>
      </c>
      <c r="G96" s="148">
        <f>(F96*'ADC''s, Trout'!E101)/100</f>
        <v>7.9047246059276608</v>
      </c>
      <c r="H96" s="60">
        <v>4175.53</v>
      </c>
      <c r="I96" s="55">
        <f>(H96*'ADC''s, Trout'!F101)/100</f>
        <v>1223.9895182264343</v>
      </c>
      <c r="J96" s="54">
        <v>2.4131261471857379</v>
      </c>
      <c r="K96" s="51">
        <f>(J96*'ADC''s, Trout'!G101)/100</f>
        <v>1.6428424816687077</v>
      </c>
      <c r="L96" s="156">
        <v>2.1048413089990134</v>
      </c>
      <c r="M96" s="148">
        <f>(L96*'ADC''s, Trout'!H101)/100</f>
        <v>1.2782846772771645</v>
      </c>
      <c r="N96" s="54">
        <v>3.1041094051904645</v>
      </c>
      <c r="O96" s="51">
        <f>(N96*'ADC''s, Trout'!I101)/100</f>
        <v>1.9576460645672651</v>
      </c>
      <c r="P96" s="156">
        <v>3.2848281034378548</v>
      </c>
      <c r="Q96" s="148">
        <f>(P96*'ADC''s, Trout'!J101)/100</f>
        <v>2.7447944836893288</v>
      </c>
      <c r="R96" s="156">
        <v>1.9347531224132348</v>
      </c>
      <c r="S96" s="148">
        <f>(R96*'ADC''s, Trout'!K101)/100</f>
        <v>1.0240996897479078</v>
      </c>
      <c r="T96" s="54">
        <v>0.55278660640378141</v>
      </c>
      <c r="U96" s="51">
        <f>(T96*'ADC''s, Trout'!L101)/100</f>
        <v>0.32830830697902813</v>
      </c>
      <c r="V96" s="156">
        <v>1.4138580509942869</v>
      </c>
      <c r="W96" s="148">
        <f>(V96*'ADC''s, Trout'!M101)/100</f>
        <v>0.80914441847130592</v>
      </c>
      <c r="X96" s="54">
        <v>2.7851940553421293</v>
      </c>
      <c r="Y96" s="51">
        <f>(X96*'ADC''s, Trout'!N101)/100</f>
        <v>2.0897466111699625</v>
      </c>
      <c r="Z96" s="156">
        <v>1.6264682842265106</v>
      </c>
      <c r="AA96" s="148">
        <f>(Z96*'ADC''s, Trout'!O101)/100</f>
        <v>0.82647838046334732</v>
      </c>
      <c r="AB96" s="54">
        <v>0.49963404809572548</v>
      </c>
      <c r="AC96" s="51">
        <f>(AB96*'ADC''s, Trout'!P101)/100</f>
        <v>0.27238385336148846</v>
      </c>
      <c r="AD96" s="156">
        <v>1.8390785174587341</v>
      </c>
      <c r="AE96" s="148">
        <f>(AD96*'ADC''s, Trout'!Q101)/100</f>
        <v>1.0838828523659745</v>
      </c>
      <c r="AF96" s="54">
        <v>1.5520547025952323</v>
      </c>
      <c r="AG96" s="38">
        <f>(AF96*'ADC''s, Trout'!R101)/100</f>
        <v>1.2938162268739588</v>
      </c>
      <c r="AH96" s="156">
        <v>1.5733157259184547</v>
      </c>
      <c r="AI96" s="148">
        <f>(AH96*'ADC''s, Trout'!S101)/100</f>
        <v>1.024242184884534</v>
      </c>
      <c r="AJ96" s="54">
        <v>1.8603395407819565</v>
      </c>
      <c r="AK96" s="51">
        <f>(AJ96*'ADC''s, Trout'!T101)/100</f>
        <v>1.0975347929834869</v>
      </c>
      <c r="AL96" s="156">
        <v>1.1799867944388411</v>
      </c>
      <c r="AM96" s="148">
        <f>(AL96*'ADC''s, Trout'!U101)/100</f>
        <v>0.7127673151581102</v>
      </c>
      <c r="AN96" s="156">
        <v>2.0835802856757915</v>
      </c>
      <c r="AO96" s="39">
        <f>(AN96*'ADC''s, Trout'!V101)/100</f>
        <v>1.2197065617906351</v>
      </c>
      <c r="AP96" s="147">
        <f>(J96+L96+N96+P96+R96+T96+V96+X96+Z96+AB96+AD96+AF96+AH96+AJ96+AL96+AN96)</f>
        <v>29.807954699157747</v>
      </c>
      <c r="AQ96" s="148">
        <f>(AP96*'ADC''s, Trout'!W101)/100</f>
        <v>19.320404108646915</v>
      </c>
      <c r="AR96" s="253">
        <v>2.3387125655544598</v>
      </c>
      <c r="AS96" s="20">
        <v>5.634171180653925</v>
      </c>
      <c r="AT96" s="38">
        <v>382.69841981800249</v>
      </c>
      <c r="AU96" s="129">
        <v>12756.613993933415</v>
      </c>
      <c r="AV96" s="20">
        <v>0.74413581631278258</v>
      </c>
      <c r="AW96" s="38">
        <v>255.13227987866833</v>
      </c>
      <c r="AX96" s="138" t="s">
        <v>174</v>
      </c>
      <c r="AY96" s="38">
        <f>0.00170088186585779*10000</f>
        <v>17.008818658577901</v>
      </c>
      <c r="AZ96" s="163">
        <v>0.99926809619145096</v>
      </c>
      <c r="BA96" s="164">
        <f>(AZ96*'ADC''s, Trout'!X101)/100</f>
        <v>0.78857862354191255</v>
      </c>
      <c r="BB96" s="20">
        <v>0.98863758452983974</v>
      </c>
      <c r="BC96" s="20">
        <v>0.38269841981800246</v>
      </c>
      <c r="BD96" s="20">
        <v>0.51026455975733664</v>
      </c>
      <c r="BE96" s="304">
        <v>10.524206544995067</v>
      </c>
      <c r="BF96" s="15"/>
    </row>
    <row r="97" spans="1:58">
      <c r="A97" s="31" t="s">
        <v>72</v>
      </c>
      <c r="B97" s="54">
        <v>86.418270840868587</v>
      </c>
      <c r="C97" s="54">
        <f>(B97*'ADC''s, Trout'!C102)/100</f>
        <v>61.715631030374297</v>
      </c>
      <c r="D97" s="156">
        <v>5.53867165885001</v>
      </c>
      <c r="E97" s="129">
        <f>(D97*'ADC''s, Trout'!D102)/100</f>
        <v>3.960482763391362</v>
      </c>
      <c r="F97" s="156">
        <v>71.319987544639147</v>
      </c>
      <c r="G97" s="148">
        <f>(F97*'ADC''s, Trout'!E102)/100</f>
        <v>52.996578161602919</v>
      </c>
      <c r="H97" s="60">
        <v>5825.31</v>
      </c>
      <c r="I97" s="55">
        <f>(H97*'ADC''s, Trout'!F102)/100</f>
        <v>3728.7674746263733</v>
      </c>
      <c r="J97" s="54">
        <v>4.5592210555278907</v>
      </c>
      <c r="K97" s="51">
        <f>(J97*'ADC''s, Trout'!G102)/100</f>
        <v>3.7392098692322988</v>
      </c>
      <c r="L97" s="156">
        <v>5.4270930838644187</v>
      </c>
      <c r="M97" s="148">
        <f>(L97*'ADC''s, Trout'!H102)/100</f>
        <v>4.9572548911028953</v>
      </c>
      <c r="N97" s="54">
        <v>7.5447008330055443</v>
      </c>
      <c r="O97" s="51">
        <f>(N97*'ADC''s, Trout'!I102)/100</f>
        <v>6.1245337249705685</v>
      </c>
      <c r="P97" s="156">
        <v>10.067315528703716</v>
      </c>
      <c r="Q97" s="148">
        <f>(P97*'ADC''s, Trout'!J102)/100</f>
        <v>7.6123674540744357</v>
      </c>
      <c r="R97" s="156">
        <v>3.969068076259052</v>
      </c>
      <c r="S97" s="148">
        <f>(R97*'ADC''s, Trout'!K102)/100</f>
        <v>2.96795776671292</v>
      </c>
      <c r="T97" s="54">
        <v>1.7473156837175419</v>
      </c>
      <c r="U97" s="51">
        <f>(T97*'ADC''s, Trout'!L102)/100</f>
        <v>1.436310323793839</v>
      </c>
      <c r="V97" s="156">
        <v>3.3326285888122653</v>
      </c>
      <c r="W97" s="148">
        <f>(V97*'ADC''s, Trout'!M102)/100</f>
        <v>2.8368676664070587</v>
      </c>
      <c r="X97" s="54">
        <v>5.9131014197328735</v>
      </c>
      <c r="Y97" s="51">
        <f>(X97*'ADC''s, Trout'!N102)/100</f>
        <v>4.833163117715694</v>
      </c>
      <c r="Z97" s="156">
        <v>4.119499227837383</v>
      </c>
      <c r="AA97" s="148">
        <f>(Z97*'ADC''s, Trout'!O102)/100</f>
        <v>3.3851099334797294</v>
      </c>
      <c r="AB97" s="54">
        <v>1.3654519912494698</v>
      </c>
      <c r="AC97" s="51">
        <f>(AB97*'ADC''s, Trout'!P102)/100</f>
        <v>1.1042857878571468</v>
      </c>
      <c r="AD97" s="156">
        <v>3.4714881133461097</v>
      </c>
      <c r="AE97" s="148">
        <f>(AD97*'ADC''s, Trout'!Q102)/100</f>
        <v>2.530823828398951</v>
      </c>
      <c r="AF97" s="54">
        <v>3.2400555724563689</v>
      </c>
      <c r="AG97" s="38">
        <f>(AF97*'ADC''s, Trout'!R102)/100</f>
        <v>2.4323512843080239</v>
      </c>
      <c r="AH97" s="156">
        <v>3.945924822170078</v>
      </c>
      <c r="AI97" s="148">
        <f>(AH97*'ADC''s, Trout'!S102)/100</f>
        <v>2.93732536227437</v>
      </c>
      <c r="AJ97" s="54">
        <v>3.8996383139921296</v>
      </c>
      <c r="AK97" s="51">
        <f>(AJ97*'ADC''s, Trout'!T102)/100</f>
        <v>3.0320049095526191</v>
      </c>
      <c r="AL97" s="156">
        <v>2.835048625899323</v>
      </c>
      <c r="AM97" s="148">
        <f>(AL97*'ADC''s, Trout'!U102)/100</f>
        <v>2.4016995217430561</v>
      </c>
      <c r="AN97" s="156">
        <v>4.1079276007928964</v>
      </c>
      <c r="AO97" s="39">
        <f>(AN97*'ADC''s, Trout'!V102)/100</f>
        <v>3.3918763049781857</v>
      </c>
      <c r="AP97" s="147">
        <f>(J97+L97+N97+P97+R97+T97+V97+X97+Z97+AB97+AD97+AF97+AH97+AJ97+AL97+AN97)</f>
        <v>69.54547853736706</v>
      </c>
      <c r="AQ97" s="148">
        <f>(AP97*'ADC''s, Trout'!W102)/100</f>
        <v>55.812606077517628</v>
      </c>
      <c r="AR97" s="253">
        <v>0.40500694655704611</v>
      </c>
      <c r="AS97" s="20">
        <v>7.4058413084716994</v>
      </c>
      <c r="AT97" s="38">
        <v>150.4311515783314</v>
      </c>
      <c r="AU97" s="129">
        <v>705.869249713709</v>
      </c>
      <c r="AV97" s="20">
        <v>0.17357440566730545</v>
      </c>
      <c r="AW97" s="38">
        <v>49.757996291294226</v>
      </c>
      <c r="AX97" s="138" t="s">
        <v>174</v>
      </c>
      <c r="AY97" s="38">
        <f>0.000266147422023202*10000</f>
        <v>2.6614742202320198</v>
      </c>
      <c r="AZ97" s="163">
        <v>1.122447823315242</v>
      </c>
      <c r="BA97" s="164">
        <f>(AZ97*'ADC''s, Trout'!X102)/100</f>
        <v>0.87168501896614803</v>
      </c>
      <c r="BB97" s="20">
        <v>0.94887341764793653</v>
      </c>
      <c r="BC97" s="20">
        <v>0.49757996291294238</v>
      </c>
      <c r="BD97" s="20">
        <v>1.0530180610483202</v>
      </c>
      <c r="BE97" s="304">
        <v>16.200277862281848</v>
      </c>
      <c r="BF97" s="15"/>
    </row>
    <row r="98" spans="1:58" s="19" customFormat="1">
      <c r="A98" s="31"/>
      <c r="B98" s="153"/>
      <c r="C98" s="153"/>
      <c r="D98" s="153"/>
      <c r="E98" s="153"/>
      <c r="F98" s="153"/>
      <c r="G98" s="39"/>
      <c r="H98" s="57"/>
      <c r="I98" s="26"/>
      <c r="J98" s="153"/>
      <c r="K98" s="39"/>
      <c r="L98" s="153"/>
      <c r="M98" s="39"/>
      <c r="N98" s="153"/>
      <c r="O98" s="39"/>
      <c r="P98" s="38"/>
      <c r="Q98" s="39"/>
      <c r="R98" s="153"/>
      <c r="S98" s="39"/>
      <c r="T98" s="153"/>
      <c r="U98" s="39"/>
      <c r="V98" s="153"/>
      <c r="W98" s="39"/>
      <c r="X98" s="153"/>
      <c r="Y98" s="39"/>
      <c r="Z98" s="153"/>
      <c r="AA98" s="39"/>
      <c r="AB98" s="153"/>
      <c r="AC98" s="39"/>
      <c r="AD98" s="153"/>
      <c r="AE98" s="39"/>
      <c r="AF98" s="153"/>
      <c r="AG98" s="153"/>
      <c r="AH98" s="153"/>
      <c r="AI98" s="39"/>
      <c r="AJ98" s="153"/>
      <c r="AK98" s="39"/>
      <c r="AL98" s="153"/>
      <c r="AM98" s="39"/>
      <c r="AN98" s="153"/>
      <c r="AO98" s="39"/>
      <c r="AP98" s="26"/>
      <c r="AQ98" s="39"/>
      <c r="AR98" s="20"/>
      <c r="AS98" s="20"/>
      <c r="AT98" s="38"/>
      <c r="AU98" s="128"/>
      <c r="AV98" s="24"/>
      <c r="AW98" s="38"/>
      <c r="AX98" s="153"/>
      <c r="AY98" s="38"/>
      <c r="AZ98" s="20"/>
      <c r="BA98" s="20"/>
      <c r="BB98" s="24"/>
      <c r="BC98" s="20"/>
      <c r="BD98" s="20"/>
      <c r="BE98" s="20"/>
      <c r="BF98" s="20"/>
    </row>
    <row r="99" spans="1:58" s="19" customFormat="1">
      <c r="A99" s="31"/>
      <c r="B99" s="153"/>
      <c r="C99" s="153"/>
      <c r="D99" s="153"/>
      <c r="E99" s="153"/>
      <c r="F99" s="153"/>
      <c r="G99" s="39"/>
      <c r="H99" s="57"/>
      <c r="I99" s="26"/>
      <c r="J99" s="153"/>
      <c r="K99" s="39"/>
      <c r="L99" s="153"/>
      <c r="M99" s="39"/>
      <c r="N99" s="153"/>
      <c r="O99" s="39"/>
      <c r="P99" s="38"/>
      <c r="Q99" s="39"/>
      <c r="R99" s="153"/>
      <c r="S99" s="39"/>
      <c r="T99" s="153"/>
      <c r="U99" s="39"/>
      <c r="V99" s="153"/>
      <c r="W99" s="39"/>
      <c r="X99" s="153"/>
      <c r="Y99" s="39"/>
      <c r="Z99" s="153"/>
      <c r="AA99" s="39"/>
      <c r="AB99" s="153"/>
      <c r="AC99" s="39"/>
      <c r="AD99" s="153"/>
      <c r="AE99" s="39"/>
      <c r="AF99" s="153"/>
      <c r="AG99" s="153"/>
      <c r="AH99" s="153"/>
      <c r="AI99" s="39"/>
      <c r="AJ99" s="153"/>
      <c r="AK99" s="39"/>
      <c r="AL99" s="153"/>
      <c r="AM99" s="39"/>
      <c r="AN99" s="153"/>
      <c r="AO99" s="39"/>
      <c r="AP99" s="26"/>
      <c r="AQ99" s="39"/>
      <c r="AR99" s="20"/>
      <c r="AS99" s="20"/>
      <c r="AT99" s="38"/>
      <c r="AU99" s="128"/>
      <c r="AV99" s="24"/>
      <c r="AW99" s="38"/>
      <c r="AX99" s="153"/>
      <c r="AY99" s="38"/>
      <c r="AZ99" s="20"/>
      <c r="BA99" s="20"/>
      <c r="BB99" s="24"/>
      <c r="BC99" s="20"/>
      <c r="BD99" s="20"/>
      <c r="BE99" s="20"/>
      <c r="BF99" s="20"/>
    </row>
    <row r="100" spans="1:58" s="19" customFormat="1">
      <c r="A100" s="31"/>
      <c r="G100" s="39"/>
      <c r="H100" s="57"/>
      <c r="I100" s="26"/>
      <c r="J100" s="153"/>
      <c r="K100" s="39"/>
      <c r="L100" s="153"/>
      <c r="M100" s="39"/>
      <c r="N100" s="153"/>
      <c r="O100" s="39"/>
      <c r="P100" s="38"/>
      <c r="Q100" s="39"/>
      <c r="R100" s="153"/>
      <c r="S100" s="39"/>
      <c r="T100" s="153"/>
      <c r="U100" s="39"/>
      <c r="V100" s="153"/>
      <c r="W100" s="39"/>
      <c r="X100" s="153"/>
      <c r="Y100" s="39"/>
      <c r="Z100" s="153"/>
      <c r="AA100" s="39"/>
      <c r="AB100" s="153"/>
      <c r="AC100" s="39"/>
      <c r="AD100" s="153"/>
      <c r="AE100" s="39"/>
      <c r="AF100" s="153"/>
      <c r="AG100" s="153"/>
      <c r="AH100" s="153"/>
      <c r="AI100" s="39"/>
      <c r="AJ100" s="153"/>
      <c r="AK100" s="39"/>
      <c r="AL100" s="153"/>
      <c r="AM100" s="39"/>
      <c r="AN100" s="153"/>
      <c r="AO100" s="39"/>
      <c r="AP100" s="26"/>
      <c r="AQ100" s="39"/>
      <c r="AR100" s="20"/>
      <c r="AS100" s="20"/>
      <c r="AT100" s="38"/>
      <c r="AU100" s="128"/>
      <c r="AW100" s="24"/>
      <c r="AX100" s="38"/>
      <c r="AY100" s="153"/>
      <c r="AZ100" s="38"/>
      <c r="BA100" s="38"/>
      <c r="BB100" s="20"/>
      <c r="BD100" s="20"/>
      <c r="BE100" s="20"/>
      <c r="BF100" s="20"/>
    </row>
    <row r="101" spans="1:58" ht="18.75">
      <c r="A101" s="5"/>
      <c r="B101" s="91"/>
      <c r="C101" s="91"/>
      <c r="D101" s="105" t="s">
        <v>214</v>
      </c>
      <c r="E101" s="105"/>
      <c r="F101" s="143"/>
      <c r="G101" s="143"/>
      <c r="H101" s="91"/>
      <c r="I101" s="91"/>
      <c r="J101" s="154"/>
      <c r="K101" s="90"/>
      <c r="L101" s="154"/>
      <c r="M101" s="155"/>
      <c r="N101" s="90"/>
      <c r="O101" s="90"/>
      <c r="P101" s="154"/>
      <c r="Q101" s="155"/>
      <c r="R101" s="154"/>
      <c r="S101" s="155"/>
      <c r="T101" s="90"/>
      <c r="U101" s="90"/>
      <c r="V101" s="154"/>
      <c r="W101" s="155"/>
      <c r="X101" s="106" t="s">
        <v>218</v>
      </c>
      <c r="Y101" s="90"/>
      <c r="Z101" s="154"/>
      <c r="AA101" s="155"/>
      <c r="AB101" s="90"/>
      <c r="AC101" s="90"/>
      <c r="AD101" s="154"/>
      <c r="AE101" s="155"/>
      <c r="AF101" s="90"/>
      <c r="AG101" s="90"/>
      <c r="AH101" s="154"/>
      <c r="AI101" s="155"/>
      <c r="AJ101" s="90"/>
      <c r="AK101" s="90"/>
      <c r="AL101" s="154"/>
      <c r="AM101" s="155"/>
      <c r="AN101" s="154"/>
      <c r="AO101" s="260"/>
      <c r="AP101" s="144"/>
      <c r="AQ101" s="145"/>
      <c r="AR101" s="256"/>
      <c r="AS101" s="247"/>
      <c r="AT101" s="247"/>
      <c r="AU101" s="247"/>
      <c r="AV101" s="298"/>
      <c r="AW101" s="299" t="s">
        <v>239</v>
      </c>
      <c r="AX101" s="247"/>
      <c r="AY101" s="247"/>
      <c r="AZ101" s="165"/>
      <c r="BA101" s="166"/>
      <c r="BB101" s="247"/>
      <c r="BC101" s="247"/>
      <c r="BD101" s="247"/>
      <c r="BE101" s="300"/>
      <c r="BF101" s="15"/>
    </row>
    <row r="102" spans="1:58">
      <c r="A102" s="2"/>
      <c r="B102" s="455" t="s">
        <v>240</v>
      </c>
      <c r="C102" s="455"/>
      <c r="D102" s="452" t="s">
        <v>1</v>
      </c>
      <c r="E102" s="453"/>
      <c r="F102" s="452" t="s">
        <v>236</v>
      </c>
      <c r="G102" s="453"/>
      <c r="H102" s="455" t="s">
        <v>235</v>
      </c>
      <c r="I102" s="455"/>
      <c r="J102" s="449" t="s">
        <v>221</v>
      </c>
      <c r="K102" s="449"/>
      <c r="L102" s="446" t="s">
        <v>222</v>
      </c>
      <c r="M102" s="451"/>
      <c r="N102" s="449" t="s">
        <v>237</v>
      </c>
      <c r="O102" s="450"/>
      <c r="P102" s="446" t="s">
        <v>223</v>
      </c>
      <c r="Q102" s="451"/>
      <c r="R102" s="446" t="s">
        <v>224</v>
      </c>
      <c r="S102" s="451"/>
      <c r="T102" s="449" t="s">
        <v>225</v>
      </c>
      <c r="U102" s="450"/>
      <c r="V102" s="446" t="s">
        <v>226</v>
      </c>
      <c r="W102" s="451"/>
      <c r="X102" s="449" t="s">
        <v>227</v>
      </c>
      <c r="Y102" s="450"/>
      <c r="Z102" s="446" t="s">
        <v>219</v>
      </c>
      <c r="AA102" s="451"/>
      <c r="AB102" s="449" t="s">
        <v>228</v>
      </c>
      <c r="AC102" s="450"/>
      <c r="AD102" s="446" t="s">
        <v>229</v>
      </c>
      <c r="AE102" s="448"/>
      <c r="AF102" s="449" t="s">
        <v>230</v>
      </c>
      <c r="AG102" s="449"/>
      <c r="AH102" s="446" t="s">
        <v>231</v>
      </c>
      <c r="AI102" s="448"/>
      <c r="AJ102" s="449" t="s">
        <v>232</v>
      </c>
      <c r="AK102" s="449"/>
      <c r="AL102" s="446" t="s">
        <v>233</v>
      </c>
      <c r="AM102" s="451"/>
      <c r="AN102" s="446" t="s">
        <v>234</v>
      </c>
      <c r="AO102" s="454"/>
      <c r="AP102" s="446" t="s">
        <v>220</v>
      </c>
      <c r="AQ102" s="451"/>
      <c r="AR102" s="219" t="s">
        <v>4</v>
      </c>
      <c r="AS102" s="121" t="s">
        <v>5</v>
      </c>
      <c r="AT102" s="121" t="s">
        <v>6</v>
      </c>
      <c r="AU102" s="122" t="s">
        <v>7</v>
      </c>
      <c r="AV102" s="121" t="s">
        <v>8</v>
      </c>
      <c r="AW102" s="121" t="s">
        <v>9</v>
      </c>
      <c r="AX102" s="121" t="s">
        <v>10</v>
      </c>
      <c r="AY102" s="121" t="s">
        <v>11</v>
      </c>
      <c r="AZ102" s="457" t="s">
        <v>238</v>
      </c>
      <c r="BA102" s="458"/>
      <c r="BB102" s="121" t="s">
        <v>13</v>
      </c>
      <c r="BC102" s="121" t="s">
        <v>14</v>
      </c>
      <c r="BD102" s="121" t="s">
        <v>15</v>
      </c>
      <c r="BE102" s="220" t="s">
        <v>16</v>
      </c>
      <c r="BF102" s="15"/>
    </row>
    <row r="103" spans="1:58" ht="13.5" thickBot="1">
      <c r="A103" s="36" t="s">
        <v>83</v>
      </c>
      <c r="B103" s="149" t="s">
        <v>217</v>
      </c>
      <c r="C103" s="100" t="s">
        <v>215</v>
      </c>
      <c r="D103" s="149" t="s">
        <v>217</v>
      </c>
      <c r="E103" s="150" t="s">
        <v>215</v>
      </c>
      <c r="F103" s="149" t="s">
        <v>101</v>
      </c>
      <c r="G103" s="150" t="s">
        <v>215</v>
      </c>
      <c r="H103" s="100" t="s">
        <v>216</v>
      </c>
      <c r="I103" s="100" t="s">
        <v>215</v>
      </c>
      <c r="J103" s="146" t="s">
        <v>217</v>
      </c>
      <c r="K103" s="146" t="s">
        <v>215</v>
      </c>
      <c r="L103" s="151" t="s">
        <v>217</v>
      </c>
      <c r="M103" s="152" t="s">
        <v>215</v>
      </c>
      <c r="N103" s="146" t="s">
        <v>217</v>
      </c>
      <c r="O103" s="146" t="s">
        <v>215</v>
      </c>
      <c r="P103" s="151" t="s">
        <v>217</v>
      </c>
      <c r="Q103" s="152" t="s">
        <v>215</v>
      </c>
      <c r="R103" s="151" t="s">
        <v>217</v>
      </c>
      <c r="S103" s="152" t="s">
        <v>215</v>
      </c>
      <c r="T103" s="146" t="s">
        <v>217</v>
      </c>
      <c r="U103" s="146" t="s">
        <v>215</v>
      </c>
      <c r="V103" s="151" t="s">
        <v>217</v>
      </c>
      <c r="W103" s="152" t="s">
        <v>215</v>
      </c>
      <c r="X103" s="146" t="s">
        <v>217</v>
      </c>
      <c r="Y103" s="146" t="s">
        <v>215</v>
      </c>
      <c r="Z103" s="151" t="s">
        <v>217</v>
      </c>
      <c r="AA103" s="152" t="s">
        <v>215</v>
      </c>
      <c r="AB103" s="146" t="s">
        <v>217</v>
      </c>
      <c r="AC103" s="146" t="s">
        <v>215</v>
      </c>
      <c r="AD103" s="151" t="s">
        <v>217</v>
      </c>
      <c r="AE103" s="152" t="s">
        <v>215</v>
      </c>
      <c r="AF103" s="146" t="s">
        <v>217</v>
      </c>
      <c r="AG103" s="146" t="s">
        <v>215</v>
      </c>
      <c r="AH103" s="151" t="s">
        <v>217</v>
      </c>
      <c r="AI103" s="152" t="s">
        <v>215</v>
      </c>
      <c r="AJ103" s="146" t="s">
        <v>217</v>
      </c>
      <c r="AK103" s="146" t="s">
        <v>215</v>
      </c>
      <c r="AL103" s="151" t="s">
        <v>217</v>
      </c>
      <c r="AM103" s="152" t="s">
        <v>215</v>
      </c>
      <c r="AN103" s="151" t="s">
        <v>217</v>
      </c>
      <c r="AO103" s="146" t="s">
        <v>215</v>
      </c>
      <c r="AP103" s="151" t="s">
        <v>217</v>
      </c>
      <c r="AQ103" s="152" t="s">
        <v>215</v>
      </c>
      <c r="AR103" s="257" t="s">
        <v>93</v>
      </c>
      <c r="AS103" s="96" t="s">
        <v>91</v>
      </c>
      <c r="AT103" s="118" t="s">
        <v>91</v>
      </c>
      <c r="AU103" s="97" t="s">
        <v>91</v>
      </c>
      <c r="AV103" s="118" t="s">
        <v>93</v>
      </c>
      <c r="AW103" s="118" t="s">
        <v>91</v>
      </c>
      <c r="AX103" s="118" t="s">
        <v>91</v>
      </c>
      <c r="AY103" s="160" t="s">
        <v>91</v>
      </c>
      <c r="AZ103" s="161" t="s">
        <v>217</v>
      </c>
      <c r="BA103" s="162" t="s">
        <v>215</v>
      </c>
      <c r="BB103" s="159" t="s">
        <v>93</v>
      </c>
      <c r="BC103" s="118" t="s">
        <v>93</v>
      </c>
      <c r="BD103" s="118" t="s">
        <v>93</v>
      </c>
      <c r="BE103" s="301" t="s">
        <v>91</v>
      </c>
      <c r="BF103" s="15"/>
    </row>
    <row r="104" spans="1:58">
      <c r="A104" s="80" t="s">
        <v>195</v>
      </c>
      <c r="B104" s="139">
        <v>93.481993394052836</v>
      </c>
      <c r="C104" s="139">
        <f>(B104*'ADC''s, Trout'!C110)/100</f>
        <v>71.820284615652312</v>
      </c>
      <c r="D104" s="199">
        <v>10.780637008759076</v>
      </c>
      <c r="E104" s="129">
        <f>(D104*'ADC''s, Trout'!D110)/100</f>
        <v>10.780637008759077</v>
      </c>
      <c r="F104" s="203">
        <v>68.747464262019605</v>
      </c>
      <c r="G104" s="202">
        <f>(F104*'ADC''s, Trout'!E110)/100</f>
        <v>56.549218511134548</v>
      </c>
      <c r="H104" s="61">
        <v>4777.3073592631736</v>
      </c>
      <c r="I104" s="208">
        <f>(H104*'ADC''s, Trout'!F110)/100</f>
        <v>4299.034074426907</v>
      </c>
      <c r="J104" s="153">
        <v>4.8137612781011603</v>
      </c>
      <c r="K104" s="51">
        <f>(J104*'ADC''s, Trout'!G110)/100</f>
        <v>4.1778532589815018</v>
      </c>
      <c r="L104" s="157">
        <v>4.9849172346558683</v>
      </c>
      <c r="M104" s="148">
        <f>(L104*'ADC''s, Trout'!H110)/100</f>
        <v>4.5290895851764779</v>
      </c>
      <c r="N104" s="38">
        <v>6.9104217458963326</v>
      </c>
      <c r="O104" s="51">
        <f>(N104*'ADC''s, Trout'!I110)/100</f>
        <v>5.5555331612491452</v>
      </c>
      <c r="P104" s="156">
        <v>10.034017953019752</v>
      </c>
      <c r="Q104" s="148">
        <f>(P104*'ADC''s, Trout'!J110)/100</f>
        <v>9.0389296148091436</v>
      </c>
      <c r="R104" s="156">
        <v>5.2951374059112766</v>
      </c>
      <c r="S104" s="148">
        <f>(R104*'ADC''s, Trout'!K110)/100</f>
        <v>3.8715964803435976</v>
      </c>
      <c r="T104" s="38">
        <v>1.572495350846379</v>
      </c>
      <c r="U104" s="51">
        <f>(T104*'ADC''s, Trout'!L110)/100</f>
        <v>1.3661837037365969</v>
      </c>
      <c r="V104" s="156">
        <v>2.9845319924227192</v>
      </c>
      <c r="W104" s="148">
        <f>(V104*'ADC''s, Trout'!M110)/100</f>
        <v>2.7049398350584739</v>
      </c>
      <c r="X104" s="38">
        <v>5.4555961151813142</v>
      </c>
      <c r="Y104" s="51">
        <f>(X104*'ADC''s, Trout'!N110)/100</f>
        <v>5.0016646179121409</v>
      </c>
      <c r="Z104" s="156">
        <v>4.7602750416778141</v>
      </c>
      <c r="AA104" s="148">
        <f>(Z104*'ADC''s, Trout'!O110)/100</f>
        <v>4.2808665349536712</v>
      </c>
      <c r="AB104" s="38">
        <v>2.1501467042185181</v>
      </c>
      <c r="AC104" s="51">
        <f>(AB104*'ADC''s, Trout'!P110)/100</f>
        <v>2.0036502091996193</v>
      </c>
      <c r="AD104" s="156">
        <v>3.0273209815613962</v>
      </c>
      <c r="AE104" s="148">
        <f>(AD104*'ADC''s, Trout'!Q110)/100</f>
        <v>2.4668267066765739</v>
      </c>
      <c r="AF104" s="153">
        <v>3.8617062697655973</v>
      </c>
      <c r="AG104" s="38">
        <f>(AF104*'ADC''s, Trout'!R110)/100</f>
        <v>3.2008195766795335</v>
      </c>
      <c r="AH104" s="156">
        <v>3.3482384001014736</v>
      </c>
      <c r="AI104" s="148">
        <f>(AH104*'ADC''s, Trout'!S110)/100</f>
        <v>2.8931338993512528</v>
      </c>
      <c r="AJ104" s="38">
        <v>3.3803301419554814</v>
      </c>
      <c r="AK104" s="51">
        <f>(AJ104*'ADC''s, Trout'!T110)/100</f>
        <v>2.9695086944291655</v>
      </c>
      <c r="AL104" s="156">
        <v>2.5138531118972725</v>
      </c>
      <c r="AM104" s="148">
        <f>(AL104*'ADC''s, Trout'!U110)/100</f>
        <v>2.3163206281771256</v>
      </c>
      <c r="AN104" s="157">
        <v>3.8937980116196051</v>
      </c>
      <c r="AO104" s="305">
        <f>(AN104*'ADC''s, Trout'!V110)/100</f>
        <v>3.4766697105149711</v>
      </c>
      <c r="AP104" s="314">
        <f t="shared" ref="AP104:AP110" si="4">(J104+L104+N104+P104+R104+T104+V104+X104+Z104+AB104+AD104+AF104+AH104+AJ104+AL104+AN104)</f>
        <v>68.986547738831973</v>
      </c>
      <c r="AQ104" s="148">
        <f>(AP104*'ADC''s, Trout'!W110)/100</f>
        <v>59.807145666712778</v>
      </c>
      <c r="AR104" s="253">
        <v>5.6695410608746997</v>
      </c>
      <c r="AS104" s="20">
        <v>0.44928438595610831</v>
      </c>
      <c r="AT104" s="38">
        <v>35.300916039408513</v>
      </c>
      <c r="AU104" s="129">
        <v>887.87152462754727</v>
      </c>
      <c r="AV104" s="20">
        <v>0.25673393483206192</v>
      </c>
      <c r="AW104" s="38">
        <v>81.299079363486257</v>
      </c>
      <c r="AX104" s="138" t="s">
        <v>174</v>
      </c>
      <c r="AY104" s="138" t="s">
        <v>174</v>
      </c>
      <c r="AZ104" s="163">
        <v>3.4231191310941584</v>
      </c>
      <c r="BA104" s="164">
        <f>(AZ104*'ADC''s, Trout'!X110)/100</f>
        <v>2.008694086189863</v>
      </c>
      <c r="BB104" s="20">
        <v>0.99484399747423979</v>
      </c>
      <c r="BC104" s="20">
        <v>0.68462382621883167</v>
      </c>
      <c r="BD104" s="20">
        <v>0.82368804091953185</v>
      </c>
      <c r="BE104" s="308">
        <v>11.76697201313617</v>
      </c>
      <c r="BF104" s="15"/>
    </row>
    <row r="105" spans="1:58">
      <c r="A105" s="80" t="s">
        <v>162</v>
      </c>
      <c r="B105" s="139">
        <v>95.860265161419974</v>
      </c>
      <c r="C105" s="139">
        <f>(B105*'ADC''s, Trout'!C111)/100</f>
        <v>66.534493972002295</v>
      </c>
      <c r="D105" s="199">
        <v>3.8454903847349229</v>
      </c>
      <c r="E105" s="129">
        <f>(D105*'ADC''s, Trout'!D111)/100</f>
        <v>3.8454903847349224</v>
      </c>
      <c r="F105" s="199">
        <v>63.230056685044694</v>
      </c>
      <c r="G105" s="148">
        <f>(F105*'ADC''s, Trout'!E111)/100</f>
        <v>51.272379738550711</v>
      </c>
      <c r="H105" s="61">
        <v>5230.019384525699</v>
      </c>
      <c r="I105" s="207">
        <f>(H105*'ADC''s, Trout'!F111)/100</f>
        <v>3895.3949475100248</v>
      </c>
      <c r="J105" s="153">
        <v>3.2547375022864831</v>
      </c>
      <c r="K105" s="51">
        <f>(J105*'ADC''s, Trout'!G111)/100</f>
        <v>2.8166533170400574</v>
      </c>
      <c r="L105" s="157">
        <v>4.6421736811457848</v>
      </c>
      <c r="M105" s="148">
        <f>(L105*'ADC''s, Trout'!H111)/100</f>
        <v>4.1842344008800332</v>
      </c>
      <c r="N105" s="38">
        <v>5.3202439941221353</v>
      </c>
      <c r="O105" s="51">
        <f>(N105*'ADC''s, Trout'!I111)/100</f>
        <v>4.3502471206398701</v>
      </c>
      <c r="P105" s="156">
        <v>11.673241234162097</v>
      </c>
      <c r="Q105" s="148">
        <f>(P105*'ADC''s, Trout'!J111)/100</f>
        <v>10.483848027879571</v>
      </c>
      <c r="R105" s="156">
        <v>3.6407159881345592</v>
      </c>
      <c r="S105" s="148">
        <f>(R105*'ADC''s, Trout'!K111)/100</f>
        <v>2.834420175699218</v>
      </c>
      <c r="T105" s="38">
        <v>1.6795280059875761</v>
      </c>
      <c r="U105" s="51">
        <f>(T105*'ADC''s, Trout'!L111)/100</f>
        <v>1.4351807049446765</v>
      </c>
      <c r="V105" s="156">
        <v>2.8791908674072735</v>
      </c>
      <c r="W105" s="148">
        <f>(V105*'ADC''s, Trout'!M111)/100</f>
        <v>2.4157734714328325</v>
      </c>
      <c r="X105" s="38">
        <v>5.3724032489664699</v>
      </c>
      <c r="Y105" s="51">
        <f>(X105*'ADC''s, Trout'!N111)/100</f>
        <v>4.7201665479495025</v>
      </c>
      <c r="Z105" s="156">
        <v>2.7853042086874709</v>
      </c>
      <c r="AA105" s="148">
        <f>(Z105*'ADC''s, Trout'!O111)/100</f>
        <v>2.3692801106096844</v>
      </c>
      <c r="AB105" s="38">
        <v>1.2726858182017657</v>
      </c>
      <c r="AC105" s="51">
        <f>(AB105*'ADC''s, Trout'!P111)/100</f>
        <v>1.1966230279123122</v>
      </c>
      <c r="AD105" s="156">
        <v>3.1712826945355475</v>
      </c>
      <c r="AE105" s="148">
        <f>(AD105*'ADC''s, Trout'!Q111)/100</f>
        <v>2.2006245905971902</v>
      </c>
      <c r="AF105" s="153">
        <v>4.3813774069241118</v>
      </c>
      <c r="AG105" s="38">
        <f>(AF105*'ADC''s, Trout'!R111)/100</f>
        <v>3.607643218638326</v>
      </c>
      <c r="AH105" s="156">
        <v>3.4007834158506198</v>
      </c>
      <c r="AI105" s="148">
        <f>(AH105*'ADC''s, Trout'!S111)/100</f>
        <v>2.8386174280979244</v>
      </c>
      <c r="AJ105" s="38">
        <v>3.2651693532553496</v>
      </c>
      <c r="AK105" s="51">
        <f>(AJ105*'ADC''s, Trout'!T111)/100</f>
        <v>2.6433005072480777</v>
      </c>
      <c r="AL105" s="156">
        <v>2.3367346170261931</v>
      </c>
      <c r="AM105" s="148">
        <f>(AL105*'ADC''s, Trout'!U111)/100</f>
        <v>2.1418806754976583</v>
      </c>
      <c r="AN105" s="157">
        <v>4.0684218778581034</v>
      </c>
      <c r="AO105" s="39">
        <f>(AN105*'ADC''s, Trout'!V111)/100</f>
        <v>3.3990467037249363</v>
      </c>
      <c r="AP105" s="200">
        <f t="shared" si="4"/>
        <v>63.143993914551544</v>
      </c>
      <c r="AQ105" s="148">
        <f>(AP105*'ADC''s, Trout'!W111)/100</f>
        <v>53.652744550579648</v>
      </c>
      <c r="AR105" s="253">
        <v>0.76152512072728606</v>
      </c>
      <c r="AS105" s="20">
        <v>0.15647776453300399</v>
      </c>
      <c r="AT105" s="38">
        <v>146.04591356413707</v>
      </c>
      <c r="AU105" s="129">
        <v>260.79627422167329</v>
      </c>
      <c r="AV105" s="20">
        <v>0.53202439941221358</v>
      </c>
      <c r="AW105" s="38">
        <v>81.368437557162068</v>
      </c>
      <c r="AX105" s="138" t="s">
        <v>174</v>
      </c>
      <c r="AY105" s="138" t="s">
        <v>174</v>
      </c>
      <c r="AZ105" s="163">
        <v>1.0223213949489593</v>
      </c>
      <c r="BA105" s="164">
        <f>(AZ105*'ADC''s, Trout'!X111)/100</f>
        <v>0.84080723134019297</v>
      </c>
      <c r="BB105" s="20">
        <v>0.39641033681694343</v>
      </c>
      <c r="BC105" s="20">
        <v>0.63634290910088287</v>
      </c>
      <c r="BD105" s="20">
        <v>0.81368437557162065</v>
      </c>
      <c r="BE105" s="308">
        <v>10.327532459178263</v>
      </c>
      <c r="BF105" s="15"/>
    </row>
    <row r="106" spans="1:58">
      <c r="A106" s="80" t="s">
        <v>206</v>
      </c>
      <c r="B106" s="139">
        <v>92.812115919637307</v>
      </c>
      <c r="C106" s="139">
        <f>(B106*'ADC''s, Trout'!C112)/100</f>
        <v>74.23330049210854</v>
      </c>
      <c r="D106" s="199">
        <v>2.9454109843397789</v>
      </c>
      <c r="E106" s="129">
        <f>(D106*'ADC''s, Trout'!D112)/100</f>
        <v>2.9454109843397789</v>
      </c>
      <c r="F106" s="199">
        <v>82.011383153797027</v>
      </c>
      <c r="G106" s="148">
        <f>(F106*'ADC''s, Trout'!E112)/100</f>
        <v>61.089668429219188</v>
      </c>
      <c r="H106" s="61">
        <v>5867.1913101464388</v>
      </c>
      <c r="I106" s="207">
        <f>(H106*'ADC''s, Trout'!F112)/100</f>
        <v>4627.8548710612376</v>
      </c>
      <c r="J106" s="153">
        <v>8.0916159766281375</v>
      </c>
      <c r="K106" s="51">
        <f>(J106*'ADC''s, Trout'!G112)/100</f>
        <v>6.2809200352182106</v>
      </c>
      <c r="L106" s="157">
        <v>2.962975224464365</v>
      </c>
      <c r="M106" s="148">
        <f>(L106*'ADC''s, Trout'!H112)/100</f>
        <v>2.5895089863400642</v>
      </c>
      <c r="N106" s="38">
        <v>5.3010320379507911</v>
      </c>
      <c r="O106" s="51">
        <f>(N106*'ADC''s, Trout'!I112)/100</f>
        <v>4.0014102587452216</v>
      </c>
      <c r="P106" s="156">
        <v>19.997389151294037</v>
      </c>
      <c r="Q106" s="148">
        <f>(P106*'ADC''s, Trout'!J112)/100</f>
        <v>15.352391022908849</v>
      </c>
      <c r="R106" s="156">
        <v>2.3596057242098034</v>
      </c>
      <c r="S106" s="148">
        <f>(R106*'ADC''s, Trout'!K112)/100</f>
        <v>1.6801009454393856</v>
      </c>
      <c r="T106" s="38">
        <v>1.6377172149766672</v>
      </c>
      <c r="U106" s="51">
        <f>(T106*'ADC''s, Trout'!L112)/100</f>
        <v>1.2587972586933773</v>
      </c>
      <c r="V106" s="156">
        <v>3.3508556174851543</v>
      </c>
      <c r="W106" s="148">
        <f>(V106*'ADC''s, Trout'!M112)/100</f>
        <v>2.3932674306061936</v>
      </c>
      <c r="X106" s="38">
        <v>15.084237506364039</v>
      </c>
      <c r="Y106" s="51">
        <f>(X106*'ADC''s, Trout'!N112)/100</f>
        <v>11.546815160050725</v>
      </c>
      <c r="Z106" s="156">
        <v>1.2067390005091232</v>
      </c>
      <c r="AA106" s="148">
        <f>(Z106*'ADC''s, Trout'!O112)/100</f>
        <v>0.77650416836104563</v>
      </c>
      <c r="AB106" s="38">
        <v>2.0902443401675881</v>
      </c>
      <c r="AC106" s="51">
        <f>(AB106*'ADC''s, Trout'!P112)/100</f>
        <v>1.690335678286379</v>
      </c>
      <c r="AD106" s="156">
        <v>5.8397548060352209</v>
      </c>
      <c r="AE106" s="148">
        <f>(AD106*'ADC''s, Trout'!Q112)/100</f>
        <v>4.4349895683783629</v>
      </c>
      <c r="AF106" s="153">
        <v>9.4599718075625887</v>
      </c>
      <c r="AG106" s="38">
        <f>(AF106*'ADC''s, Trout'!R112)/100</f>
        <v>6.713520382580862</v>
      </c>
      <c r="AH106" s="156">
        <v>5.376453225482611</v>
      </c>
      <c r="AI106" s="148">
        <f>(AH106*'ADC''s, Trout'!S112)/100</f>
        <v>4.4486647216107569</v>
      </c>
      <c r="AJ106" s="38">
        <v>3.2646599745916456</v>
      </c>
      <c r="AK106" s="51">
        <f>(AJ106*'ADC''s, Trout'!T112)/100</f>
        <v>2.3360796386596214</v>
      </c>
      <c r="AL106" s="156">
        <v>5.1286407521637729</v>
      </c>
      <c r="AM106" s="148">
        <f>(AL106*'ADC''s, Trout'!U112)/100</f>
        <v>4.086087144757669</v>
      </c>
      <c r="AN106" s="157">
        <v>4.3636544214838828</v>
      </c>
      <c r="AO106" s="39">
        <f>(AN106*'ADC''s, Trout'!V112)/100</f>
        <v>3.204376241985881</v>
      </c>
      <c r="AP106" s="200">
        <f t="shared" si="4"/>
        <v>95.515546781369437</v>
      </c>
      <c r="AQ106" s="148">
        <f>(AP106*'ADC''s, Trout'!W112)/100</f>
        <v>72.840007767048718</v>
      </c>
      <c r="AR106" s="253">
        <v>3.4478257157403519E-2</v>
      </c>
      <c r="AS106" s="20">
        <v>0</v>
      </c>
      <c r="AT106" s="38">
        <v>150.84237506364039</v>
      </c>
      <c r="AU106" s="129">
        <v>46.330158055260981</v>
      </c>
      <c r="AV106" s="20">
        <v>5.7104613416949578E-2</v>
      </c>
      <c r="AW106" s="38">
        <v>6.033695002545616</v>
      </c>
      <c r="AX106" s="138" t="s">
        <v>174</v>
      </c>
      <c r="AY106" s="138" t="s">
        <v>174</v>
      </c>
      <c r="AZ106" s="163">
        <v>0.23703801795714918</v>
      </c>
      <c r="BA106" s="164">
        <f>(AZ106*'ADC''s, Trout'!X112)/100</f>
        <v>7.735447181188293E-2</v>
      </c>
      <c r="BB106" s="20">
        <v>0.14006791970195179</v>
      </c>
      <c r="BC106" s="20">
        <v>0.23703801795714918</v>
      </c>
      <c r="BD106" s="20">
        <v>1.07744553616886</v>
      </c>
      <c r="BE106" s="308">
        <v>5.8182058953118432</v>
      </c>
      <c r="BF106" s="15"/>
    </row>
    <row r="107" spans="1:58">
      <c r="A107" s="6" t="s">
        <v>155</v>
      </c>
      <c r="B107" s="139">
        <v>93.955129007439083</v>
      </c>
      <c r="C107" s="139">
        <f>(B107*'ADC''s, Trout'!C113)/100</f>
        <v>39.25361618175257</v>
      </c>
      <c r="D107" s="199">
        <v>0.92962597559969329</v>
      </c>
      <c r="E107" s="129">
        <f>(D107*'ADC''s, Trout'!D113)/100</f>
        <v>0.92962597559969329</v>
      </c>
      <c r="F107" s="199">
        <v>47.234781612067358</v>
      </c>
      <c r="G107" s="148">
        <f>(F107*'ADC''s, Trout'!E113)/100</f>
        <v>25.952141160354923</v>
      </c>
      <c r="H107" s="61">
        <v>4573.7079980591134</v>
      </c>
      <c r="I107" s="207">
        <f>(H107*'ADC''s, Trout'!F113)/100</f>
        <v>2054.9235075275183</v>
      </c>
      <c r="J107" s="153">
        <v>3.2249436853629287</v>
      </c>
      <c r="K107" s="51">
        <f>(J107*'ADC''s, Trout'!G113)/100</f>
        <v>2.1178708238567854</v>
      </c>
      <c r="L107" s="157">
        <v>2.5650542183909764</v>
      </c>
      <c r="M107" s="148">
        <f>(L107*'ADC''s, Trout'!H113)/100</f>
        <v>1.8872226988519338</v>
      </c>
      <c r="N107" s="38">
        <v>4.768233567797334</v>
      </c>
      <c r="O107" s="51">
        <f>(N107*'ADC''s, Trout'!I113)/100</f>
        <v>2.5711551606688814</v>
      </c>
      <c r="P107" s="156">
        <v>6.0560823662425953</v>
      </c>
      <c r="Q107" s="148">
        <f>(P107*'ADC''s, Trout'!J113)/100</f>
        <v>3.3596045976143163</v>
      </c>
      <c r="R107" s="156">
        <v>2.0115985364145001</v>
      </c>
      <c r="S107" s="148">
        <f>(R107*'ADC''s, Trout'!K113)/100</f>
        <v>1.1030667377710182</v>
      </c>
      <c r="T107" s="38">
        <v>0.92597392946064283</v>
      </c>
      <c r="U107" s="51">
        <f>(T107*'ADC''s, Trout'!L113)/100</f>
        <v>0.59443113128946823</v>
      </c>
      <c r="V107" s="156">
        <v>2.1073889429104287</v>
      </c>
      <c r="W107" s="148">
        <f>(V107*'ADC''s, Trout'!M113)/100</f>
        <v>1.1463641639722264</v>
      </c>
      <c r="X107" s="38">
        <v>3.267517199361119</v>
      </c>
      <c r="Y107" s="51">
        <f>(X107*'ADC''s, Trout'!N113)/100</f>
        <v>1.9252637348341657</v>
      </c>
      <c r="Z107" s="156">
        <v>2.8524254378787619</v>
      </c>
      <c r="AA107" s="148">
        <f>(Z107*'ADC''s, Trout'!O113)/100</f>
        <v>1.8615785972344017</v>
      </c>
      <c r="AB107" s="38">
        <v>0.64924608847240484</v>
      </c>
      <c r="AC107" s="51">
        <f>(AB107*'ADC''s, Trout'!P113)/100</f>
        <v>0.24574947259369911</v>
      </c>
      <c r="AD107" s="156">
        <v>2.0861021859113333</v>
      </c>
      <c r="AE107" s="148">
        <f>(AD107*'ADC''s, Trout'!Q113)/100</f>
        <v>0.84379849766602633</v>
      </c>
      <c r="AF107" s="153">
        <v>1.7242273169267144</v>
      </c>
      <c r="AG107" s="38">
        <f>(AF107*'ADC''s, Trout'!R113)/100</f>
        <v>0.70477211323746347</v>
      </c>
      <c r="AH107" s="156">
        <v>2.607627732389167</v>
      </c>
      <c r="AI107" s="148">
        <f>(AH107*'ADC''s, Trout'!S113)/100</f>
        <v>1.1411621193749273</v>
      </c>
      <c r="AJ107" s="38">
        <v>2.5969843538896193</v>
      </c>
      <c r="AK107" s="51">
        <f>(AJ107*'ADC''s, Trout'!T113)/100</f>
        <v>1.2301232747931845</v>
      </c>
      <c r="AL107" s="156">
        <v>1.7561574524253571</v>
      </c>
      <c r="AM107" s="148">
        <f>(AL107*'ADC''s, Trout'!U113)/100</f>
        <v>1.0583292137886344</v>
      </c>
      <c r="AN107" s="157">
        <v>2.7566350313828334</v>
      </c>
      <c r="AO107" s="39">
        <f>(AN107*'ADC''s, Trout'!V113)/100</f>
        <v>1.4923275128954643</v>
      </c>
      <c r="AP107" s="200">
        <f t="shared" si="4"/>
        <v>41.956198045216716</v>
      </c>
      <c r="AQ107" s="148">
        <f>(AP107*'ADC''s, Trout'!W113)/100</f>
        <v>23.312702927592763</v>
      </c>
      <c r="AR107" s="253">
        <v>0.32994473348597619</v>
      </c>
      <c r="AS107" s="20">
        <v>1.9158081299185714</v>
      </c>
      <c r="AT107" s="38">
        <v>81.954014446516666</v>
      </c>
      <c r="AU107" s="129">
        <v>351.23149048507145</v>
      </c>
      <c r="AV107" s="20">
        <v>0.30865797648688098</v>
      </c>
      <c r="AW107" s="38">
        <v>54.281230347692862</v>
      </c>
      <c r="AX107" s="138" t="s">
        <v>174</v>
      </c>
      <c r="AY107" s="138" t="s">
        <v>174</v>
      </c>
      <c r="AZ107" s="163">
        <v>1.2772054199457143</v>
      </c>
      <c r="BA107" s="164">
        <f>(AZ107*'ADC''s, Trout'!X113)/100</f>
        <v>0.93222148381948666</v>
      </c>
      <c r="BB107" s="20">
        <v>3.1930135498642858</v>
      </c>
      <c r="BC107" s="20">
        <v>5.8538581747511913E-2</v>
      </c>
      <c r="BD107" s="20">
        <v>0.55345568197647621</v>
      </c>
      <c r="BE107" s="308">
        <v>23.415432699004761</v>
      </c>
      <c r="BF107" s="15"/>
    </row>
    <row r="108" spans="1:58">
      <c r="A108" s="41" t="s">
        <v>75</v>
      </c>
      <c r="B108" s="139">
        <v>88.762381698982637</v>
      </c>
      <c r="C108" s="139">
        <f>(B108*'ADC''s, Trout'!C114)/100</f>
        <v>75.953400570313846</v>
      </c>
      <c r="D108" s="199">
        <v>8.5418722526853461</v>
      </c>
      <c r="E108" s="129">
        <f>(D108*'ADC''s, Trout'!D114)/100</f>
        <v>8.5418722526853461</v>
      </c>
      <c r="F108" s="199">
        <v>78.315834556743042</v>
      </c>
      <c r="G108" s="148">
        <f>(F108*'ADC''s, Trout'!E114)/100</f>
        <v>66.400077705404271</v>
      </c>
      <c r="H108" s="61">
        <v>5556.6820713830975</v>
      </c>
      <c r="I108" s="207">
        <f>(H108*'ADC''s, Trout'!F114)/100</f>
        <v>4910.3814750368301</v>
      </c>
      <c r="J108" s="153">
        <v>4.8105964692122951</v>
      </c>
      <c r="K108" s="51">
        <f>(J108*'ADC''s, Trout'!G114)/100</f>
        <v>4.3939706804557037</v>
      </c>
      <c r="L108" s="157">
        <v>6.0836582983012644</v>
      </c>
      <c r="M108" s="148">
        <f>(L108*'ADC''s, Trout'!H114)/100</f>
        <v>5.7481345556356267</v>
      </c>
      <c r="N108" s="38">
        <v>7.0750692802466553</v>
      </c>
      <c r="O108" s="51">
        <f>(N108*'ADC''s, Trout'!I114)/100</f>
        <v>6.0392176940956865</v>
      </c>
      <c r="P108" s="156">
        <v>9.7789174128249954</v>
      </c>
      <c r="Q108" s="148">
        <f>(P108*'ADC''s, Trout'!J114)/100</f>
        <v>8.6618474064575768</v>
      </c>
      <c r="R108" s="156">
        <v>5.3513660957279638</v>
      </c>
      <c r="S108" s="148">
        <f>(R108*'ADC''s, Trout'!K114)/100</f>
        <v>4.5659530628166207</v>
      </c>
      <c r="T108" s="38">
        <v>1.4307863034893715</v>
      </c>
      <c r="U108" s="51">
        <f>(T108*'ADC''s, Trout'!L114)/100</f>
        <v>1.2145325753434701</v>
      </c>
      <c r="V108" s="156">
        <v>3.1770215557795494</v>
      </c>
      <c r="W108" s="148">
        <f>(V108*'ADC''s, Trout'!M114)/100</f>
        <v>2.7892552378787752</v>
      </c>
      <c r="X108" s="38">
        <v>5.5428886717855965</v>
      </c>
      <c r="Y108" s="51">
        <f>(X108*'ADC''s, Trout'!N114)/100</f>
        <v>5.0471485011842523</v>
      </c>
      <c r="Z108" s="156">
        <v>4.7542662997835805</v>
      </c>
      <c r="AA108" s="148">
        <f>(Z108*'ADC''s, Trout'!O114)/100</f>
        <v>4.3500863082843004</v>
      </c>
      <c r="AB108" s="38">
        <v>2.1405464382911856</v>
      </c>
      <c r="AC108" s="51">
        <f>(AB108*'ADC''s, Trout'!P114)/100</f>
        <v>1.9164506764596556</v>
      </c>
      <c r="AD108" s="156">
        <v>2.9629669119504305</v>
      </c>
      <c r="AE108" s="148">
        <f>(AD108*'ADC''s, Trout'!Q114)/100</f>
        <v>2.2911082344916527</v>
      </c>
      <c r="AF108" s="153">
        <v>3.7290572161809603</v>
      </c>
      <c r="AG108" s="38">
        <f>(AF108*'ADC''s, Trout'!R114)/100</f>
        <v>3.1214412397935352</v>
      </c>
      <c r="AH108" s="156">
        <v>3.6839930806379879</v>
      </c>
      <c r="AI108" s="148">
        <f>(AH108*'ADC''s, Trout'!S114)/100</f>
        <v>3.270882266761443</v>
      </c>
      <c r="AJ108" s="38">
        <v>3.5150025723518414</v>
      </c>
      <c r="AK108" s="51">
        <f>(AJ108*'ADC''s, Trout'!T114)/100</f>
        <v>3.0294154257215986</v>
      </c>
      <c r="AL108" s="156">
        <v>2.5461236581779363</v>
      </c>
      <c r="AM108" s="148">
        <f>(AL108*'ADC''s, Trout'!U114)/100</f>
        <v>2.3053052786548109</v>
      </c>
      <c r="AN108" s="157">
        <v>4.1909646054964265</v>
      </c>
      <c r="AO108" s="39">
        <f>(AN108*'ADC''s, Trout'!V114)/100</f>
        <v>3.6762551715703906</v>
      </c>
      <c r="AP108" s="200">
        <f t="shared" si="4"/>
        <v>70.773224870238053</v>
      </c>
      <c r="AQ108" s="148">
        <f>(AP108*'ADC''s, Trout'!W114)/100</f>
        <v>62.423377529702691</v>
      </c>
      <c r="AR108" s="253">
        <v>0.94634684640241884</v>
      </c>
      <c r="AS108" s="20">
        <v>0.23658671160060474</v>
      </c>
      <c r="AT108" s="38">
        <v>79.988840588775886</v>
      </c>
      <c r="AU108" s="129">
        <v>123.92637274317391</v>
      </c>
      <c r="AV108" s="20">
        <v>0.13519240662891699</v>
      </c>
      <c r="AW108" s="38">
        <v>1.8025654217188931</v>
      </c>
      <c r="AX108" s="138" t="s">
        <v>174</v>
      </c>
      <c r="AY108" s="138" t="s">
        <v>174</v>
      </c>
      <c r="AZ108" s="163">
        <v>1.5772447440040314</v>
      </c>
      <c r="BA108" s="164">
        <f>(AZ108*'ADC''s, Trout'!X114)/100</f>
        <v>1.4227790805087579</v>
      </c>
      <c r="BB108" s="20">
        <v>1.3519240662891698</v>
      </c>
      <c r="BC108" s="20">
        <v>2.1405464382911861</v>
      </c>
      <c r="BD108" s="20">
        <v>0.92381477863093275</v>
      </c>
      <c r="BE108" s="308">
        <v>10.364751174883635</v>
      </c>
      <c r="BF108" s="15"/>
    </row>
    <row r="109" spans="1:58">
      <c r="A109" s="142" t="s">
        <v>213</v>
      </c>
      <c r="B109" s="139">
        <v>91.632117191818665</v>
      </c>
      <c r="C109" s="139">
        <f>(B109*'ADC''s, Trout'!C115)/100</f>
        <v>83.266978134319345</v>
      </c>
      <c r="D109" s="199">
        <v>1.5118769323580272</v>
      </c>
      <c r="E109" s="129">
        <f>(D109*'ADC''s, Trout'!D115)/100</f>
        <v>1.5118769323580272</v>
      </c>
      <c r="F109" s="199">
        <v>48.45244370711108</v>
      </c>
      <c r="G109" s="148">
        <f>(F109*'ADC''s, Trout'!E115)/100</f>
        <v>41.01420530563562</v>
      </c>
      <c r="H109" s="61">
        <v>4811.1798407661572</v>
      </c>
      <c r="I109" s="207">
        <f>(H109*'ADC''s, Trout'!F115)/100</f>
        <v>4421.4093478061814</v>
      </c>
      <c r="J109" s="153">
        <v>3.8960138752733586</v>
      </c>
      <c r="K109" s="51">
        <f>(J109*'ADC''s, Trout'!G115)/100</f>
        <v>3.3598800098966479</v>
      </c>
      <c r="L109" s="157">
        <v>3.7759686298167567</v>
      </c>
      <c r="M109" s="148">
        <f>(L109*'ADC''s, Trout'!H115)/100</f>
        <v>3.1990813324024669</v>
      </c>
      <c r="N109" s="38">
        <v>4.7363305934695736</v>
      </c>
      <c r="O109" s="51">
        <f>(N109*'ADC''s, Trout'!I115)/100</f>
        <v>4.1679881338604607</v>
      </c>
      <c r="P109" s="156">
        <v>6.7334469497021354</v>
      </c>
      <c r="Q109" s="148">
        <f>(P109*'ADC''s, Trout'!J115)/100</f>
        <v>6.4000262027496992</v>
      </c>
      <c r="R109" s="156">
        <v>2.4009049091320422</v>
      </c>
      <c r="S109" s="148">
        <f>(R109*'ADC''s, Trout'!K115)/100</f>
        <v>2.157589049125308</v>
      </c>
      <c r="T109" s="38">
        <v>0.67661865620993911</v>
      </c>
      <c r="U109" s="51">
        <f>(T109*'ADC''s, Trout'!L115)/100</f>
        <v>0.63904431763947067</v>
      </c>
      <c r="V109" s="156">
        <v>2.5536897669858991</v>
      </c>
      <c r="W109" s="148">
        <f>(V109*'ADC''s, Trout'!M115)/100</f>
        <v>2.2890734506295587</v>
      </c>
      <c r="X109" s="38">
        <v>4.2998024281728382</v>
      </c>
      <c r="Y109" s="51">
        <f>(X109*'ADC''s, Trout'!N115)/100</f>
        <v>4.0000832024462118</v>
      </c>
      <c r="Z109" s="156">
        <v>1.8225050901138682</v>
      </c>
      <c r="AA109" s="148">
        <f>(Z109*'ADC''s, Trout'!O115)/100</f>
        <v>1.6816350221946244</v>
      </c>
      <c r="AB109" s="38">
        <v>0.93853555538797995</v>
      </c>
      <c r="AC109" s="51">
        <f>(AB109*'ADC''s, Trout'!P115)/100</f>
        <v>0.93275275811954061</v>
      </c>
      <c r="AD109" s="156">
        <v>2.2917728678078579</v>
      </c>
      <c r="AE109" s="148">
        <f>(AD109*'ADC''s, Trout'!Q115)/100</f>
        <v>1.8938336135531517</v>
      </c>
      <c r="AF109" s="153">
        <v>1.8661579066435416</v>
      </c>
      <c r="AG109" s="38">
        <f>(AF109*'ADC''s, Trout'!R115)/100</f>
        <v>1.9016507885040346</v>
      </c>
      <c r="AH109" s="156">
        <v>2.608255787647991</v>
      </c>
      <c r="AI109" s="148">
        <f>(AH109*'ADC''s, Trout'!S115)/100</f>
        <v>2.2540153726280439</v>
      </c>
      <c r="AJ109" s="38">
        <v>2.5209501545886441</v>
      </c>
      <c r="AK109" s="51">
        <f>(AJ109*'ADC''s, Trout'!T115)/100</f>
        <v>2.3160999203823205</v>
      </c>
      <c r="AL109" s="156">
        <v>2.0735087851594907</v>
      </c>
      <c r="AM109" s="148">
        <f>(AL109*'ADC''s, Trout'!U115)/100</f>
        <v>1.9166455065283197</v>
      </c>
      <c r="AN109" s="157">
        <v>3.6450101802277364</v>
      </c>
      <c r="AO109" s="39">
        <f>(AN109*'ADC''s, Trout'!V115)/100</f>
        <v>2.9499545206557003</v>
      </c>
      <c r="AP109" s="200">
        <f t="shared" si="4"/>
        <v>46.839472136339658</v>
      </c>
      <c r="AQ109" s="148">
        <f>(AP109*'ADC''s, Trout'!W115)/100</f>
        <v>42.067468705540307</v>
      </c>
      <c r="AR109" s="253">
        <v>0.31648291984013283</v>
      </c>
      <c r="AS109" s="20">
        <v>0.50200739009124506</v>
      </c>
      <c r="AT109" s="38">
        <v>15.278485785385719</v>
      </c>
      <c r="AU109" s="129">
        <v>349.2225322373879</v>
      </c>
      <c r="AV109" s="20">
        <v>0.30556971570771441</v>
      </c>
      <c r="AW109" s="38">
        <v>18.552447025111231</v>
      </c>
      <c r="AX109" s="138" t="s">
        <v>174</v>
      </c>
      <c r="AY109" s="38">
        <f>0.000665705452077521*10000</f>
        <v>6.6570545207752101</v>
      </c>
      <c r="AZ109" s="163">
        <v>0.93853555538797995</v>
      </c>
      <c r="BA109" s="164">
        <f>(AZ109*'ADC''s, Trout'!X115)/100</f>
        <v>0.82911000260836487</v>
      </c>
      <c r="BB109" s="20">
        <v>1.3095844958902045</v>
      </c>
      <c r="BC109" s="20">
        <v>2.2917728678078579</v>
      </c>
      <c r="BD109" s="20">
        <v>0.72027147273961256</v>
      </c>
      <c r="BE109" s="308">
        <v>7.3118467687203097</v>
      </c>
      <c r="BF109" s="15"/>
    </row>
    <row r="110" spans="1:58">
      <c r="A110" s="80" t="s">
        <v>166</v>
      </c>
      <c r="B110" s="139">
        <v>93.517324869354908</v>
      </c>
      <c r="C110" s="139">
        <f>(B110*'ADC''s, Trout'!C116)/100</f>
        <v>77.71301255889891</v>
      </c>
      <c r="D110" s="199">
        <v>6.8853311801979817</v>
      </c>
      <c r="E110" s="129">
        <f>(D110*'ADC''s, Trout'!D116)/100</f>
        <v>6.2029672258517028</v>
      </c>
      <c r="F110" s="199">
        <v>55.674710619381251</v>
      </c>
      <c r="G110" s="148">
        <f>(F110*'ADC''s, Trout'!E116)/100</f>
        <v>50.758269099862147</v>
      </c>
      <c r="H110" s="61">
        <v>5707.1901462709329</v>
      </c>
      <c r="I110" s="207">
        <f>(H110*'ADC''s, Trout'!F116)/100</f>
        <v>4582.349381047944</v>
      </c>
      <c r="J110" s="153">
        <v>2.5342897728425458</v>
      </c>
      <c r="K110" s="51">
        <f>(J110*'ADC''s, Trout'!G116)/100</f>
        <v>2.3075315423825122</v>
      </c>
      <c r="L110" s="157">
        <v>3.4432122652122352</v>
      </c>
      <c r="M110" s="148">
        <f>(L110*'ADC''s, Trout'!H116)/100</f>
        <v>3.2989222110837293</v>
      </c>
      <c r="N110" s="38">
        <v>3.5715307347232499</v>
      </c>
      <c r="O110" s="51">
        <f>(N110*'ADC''s, Trout'!I116)/100</f>
        <v>3.0290504040654564</v>
      </c>
      <c r="P110" s="156">
        <v>14.243350115722661</v>
      </c>
      <c r="Q110" s="148">
        <f>(P110*'ADC''s, Trout'!J116)/100</f>
        <v>13.308238402916915</v>
      </c>
      <c r="R110" s="156">
        <v>2.2455732164427622</v>
      </c>
      <c r="S110" s="148">
        <f>(R110*'ADC''s, Trout'!K116)/100</f>
        <v>1.9288388134842878</v>
      </c>
      <c r="T110" s="38">
        <v>1.219025460354642</v>
      </c>
      <c r="U110" s="51">
        <f>(T110*'ADC''s, Trout'!L116)/100</f>
        <v>1.0903158071520067</v>
      </c>
      <c r="V110" s="156">
        <v>2.2455732164427622</v>
      </c>
      <c r="W110" s="148">
        <f>(V110*'ADC''s, Trout'!M116)/100</f>
        <v>2.0495772186426651</v>
      </c>
      <c r="X110" s="38">
        <v>4.3628279633745093</v>
      </c>
      <c r="Y110" s="51">
        <f>(X110*'ADC''s, Trout'!N116)/100</f>
        <v>3.9950528252677464</v>
      </c>
      <c r="Z110" s="156">
        <v>1.9140838368726401</v>
      </c>
      <c r="AA110" s="148">
        <f>(Z110*'ADC''s, Trout'!O116)/100</f>
        <v>1.70214370804132</v>
      </c>
      <c r="AB110" s="38">
        <v>0.85545646340676651</v>
      </c>
      <c r="AC110" s="51">
        <f>(AB110*'ADC''s, Trout'!P116)/100</f>
        <v>0.79533622541480409</v>
      </c>
      <c r="AD110" s="156">
        <v>3.3790530304567277</v>
      </c>
      <c r="AE110" s="148">
        <f>(AD110*'ADC''s, Trout'!Q116)/100</f>
        <v>2.7511717081189162</v>
      </c>
      <c r="AF110" s="153">
        <v>6.7260264435357016</v>
      </c>
      <c r="AG110" s="38">
        <f>(AF110*'ADC''s, Trout'!R116)/100</f>
        <v>6.361642859660674</v>
      </c>
      <c r="AH110" s="156">
        <v>2.9940976219236828</v>
      </c>
      <c r="AI110" s="148">
        <f>(AH110*'ADC''s, Trout'!S116)/100</f>
        <v>2.6881618101247606</v>
      </c>
      <c r="AJ110" s="38">
        <v>2.3311188627834389</v>
      </c>
      <c r="AK110" s="51">
        <f>(AJ110*'ADC''s, Trout'!T116)/100</f>
        <v>2.0409298260444615</v>
      </c>
      <c r="AL110" s="156">
        <v>2.2348800106501776</v>
      </c>
      <c r="AM110" s="148">
        <f>(AL110*'ADC''s, Trout'!U116)/100</f>
        <v>2.0810988550537548</v>
      </c>
      <c r="AN110" s="157">
        <v>3.3148937957012201</v>
      </c>
      <c r="AO110" s="39">
        <f>(AN110*'ADC''s, Trout'!V116)/100</f>
        <v>2.9551774200664767</v>
      </c>
      <c r="AP110" s="200">
        <f t="shared" si="4"/>
        <v>57.614992810445727</v>
      </c>
      <c r="AQ110" s="148">
        <f>(AP110*'ADC''s, Trout'!W116)/100</f>
        <v>52.371948204822239</v>
      </c>
      <c r="AR110" s="253">
        <v>4.9188746645889077E-2</v>
      </c>
      <c r="AS110" s="20">
        <v>0.38495540853304488</v>
      </c>
      <c r="AT110" s="38">
        <v>609.51273017732115</v>
      </c>
      <c r="AU110" s="129">
        <v>53.466028962922913</v>
      </c>
      <c r="AV110" s="20">
        <v>0.12831846951101497</v>
      </c>
      <c r="AW110" s="38">
        <v>28.871655639978368</v>
      </c>
      <c r="AX110" s="138" t="s">
        <v>174</v>
      </c>
      <c r="AY110" s="138" t="s">
        <v>174</v>
      </c>
      <c r="AZ110" s="163">
        <v>1.2831846951101498</v>
      </c>
      <c r="BA110" s="164">
        <f>(AZ110*'ADC''s, Trout'!X116)/100</f>
        <v>0.82000822873337809</v>
      </c>
      <c r="BB110" s="20">
        <v>0.84476325761418192</v>
      </c>
      <c r="BC110" s="20">
        <v>2.2455732164427623E-2</v>
      </c>
      <c r="BD110" s="20">
        <v>0.71644478810316692</v>
      </c>
      <c r="BE110" s="308">
        <v>32.079617377753742</v>
      </c>
      <c r="BF110" s="15"/>
    </row>
    <row r="111" spans="1:58" s="19" customFormat="1">
      <c r="A111" s="31"/>
      <c r="B111" s="153"/>
      <c r="C111" s="153"/>
      <c r="D111" s="153"/>
      <c r="E111" s="153"/>
      <c r="F111" s="153"/>
      <c r="G111" s="39"/>
      <c r="H111" s="57"/>
      <c r="I111" s="26"/>
      <c r="J111" s="153"/>
      <c r="K111" s="39"/>
      <c r="L111" s="153"/>
      <c r="M111" s="39"/>
      <c r="N111" s="153"/>
      <c r="O111" s="39"/>
      <c r="P111" s="38"/>
      <c r="Q111" s="39"/>
      <c r="R111" s="38"/>
      <c r="S111" s="39"/>
      <c r="T111" s="38"/>
      <c r="U111" s="39"/>
      <c r="V111" s="38"/>
      <c r="W111" s="39"/>
      <c r="X111" s="38"/>
      <c r="Y111" s="39"/>
      <c r="Z111" s="38"/>
      <c r="AA111" s="39"/>
      <c r="AB111" s="38"/>
      <c r="AC111" s="39"/>
      <c r="AD111" s="153"/>
      <c r="AE111" s="39"/>
      <c r="AF111" s="153"/>
      <c r="AG111" s="153"/>
      <c r="AH111" s="153"/>
      <c r="AI111" s="39"/>
      <c r="AJ111" s="153"/>
      <c r="AK111" s="39"/>
      <c r="AL111" s="153"/>
      <c r="AM111" s="39"/>
      <c r="AN111" s="153"/>
      <c r="AO111" s="39"/>
      <c r="AP111" s="85"/>
      <c r="AQ111" s="39"/>
      <c r="AR111" s="20"/>
      <c r="AS111" s="20"/>
      <c r="AT111" s="38"/>
      <c r="AU111" s="128"/>
      <c r="AV111" s="20"/>
      <c r="AW111" s="38"/>
      <c r="AX111" s="38"/>
      <c r="AY111" s="38"/>
      <c r="AZ111" s="20"/>
      <c r="BA111" s="20"/>
      <c r="BC111" s="20"/>
      <c r="BD111" s="20"/>
      <c r="BE111" s="23"/>
      <c r="BF111" s="20"/>
    </row>
    <row r="112" spans="1:58" s="19" customFormat="1">
      <c r="A112" s="31"/>
      <c r="B112" s="153"/>
      <c r="C112" s="153"/>
      <c r="D112" s="153"/>
      <c r="E112" s="153"/>
      <c r="F112" s="153"/>
      <c r="G112" s="39"/>
      <c r="H112" s="57"/>
      <c r="I112" s="26"/>
      <c r="J112" s="153"/>
      <c r="K112" s="39"/>
      <c r="L112" s="153"/>
      <c r="M112" s="39"/>
      <c r="N112" s="153"/>
      <c r="O112" s="39"/>
      <c r="P112" s="38"/>
      <c r="Q112" s="39"/>
      <c r="R112" s="38"/>
      <c r="S112" s="39"/>
      <c r="T112" s="38"/>
      <c r="U112" s="39"/>
      <c r="V112" s="38"/>
      <c r="W112" s="39"/>
      <c r="X112" s="38"/>
      <c r="Y112" s="39"/>
      <c r="Z112" s="38"/>
      <c r="AA112" s="39"/>
      <c r="AB112" s="38"/>
      <c r="AC112" s="39"/>
      <c r="AD112" s="153"/>
      <c r="AE112" s="39"/>
      <c r="AF112" s="153"/>
      <c r="AG112" s="153"/>
      <c r="AH112" s="153"/>
      <c r="AI112" s="39"/>
      <c r="AJ112" s="153"/>
      <c r="AK112" s="39"/>
      <c r="AL112" s="153"/>
      <c r="AM112" s="39"/>
      <c r="AN112" s="153"/>
      <c r="AO112" s="39"/>
      <c r="AP112" s="85"/>
      <c r="AQ112" s="39"/>
      <c r="AR112" s="20"/>
      <c r="AS112" s="20"/>
      <c r="AT112" s="38"/>
      <c r="AU112" s="128"/>
      <c r="AV112" s="20"/>
      <c r="AW112" s="38"/>
      <c r="AX112" s="38"/>
      <c r="AY112" s="38"/>
      <c r="AZ112" s="20"/>
      <c r="BA112" s="20"/>
      <c r="BC112" s="20"/>
      <c r="BD112" s="20"/>
      <c r="BE112" s="23"/>
      <c r="BF112" s="20"/>
    </row>
    <row r="113" spans="1:58" s="19" customFormat="1">
      <c r="A113" s="6"/>
      <c r="B113" s="20"/>
      <c r="C113" s="20"/>
      <c r="D113" s="20"/>
      <c r="E113" s="20"/>
      <c r="F113" s="20"/>
      <c r="G113" s="39"/>
      <c r="H113" s="85"/>
      <c r="I113" s="26"/>
      <c r="J113" s="38"/>
      <c r="K113" s="39"/>
      <c r="L113" s="38"/>
      <c r="M113" s="39"/>
      <c r="N113" s="38"/>
      <c r="O113" s="39"/>
      <c r="P113" s="38"/>
      <c r="Q113" s="39"/>
      <c r="R113" s="38"/>
      <c r="S113" s="39"/>
      <c r="T113" s="38"/>
      <c r="U113" s="39"/>
      <c r="V113" s="38"/>
      <c r="W113" s="39"/>
      <c r="X113" s="38"/>
      <c r="Y113" s="39"/>
      <c r="Z113" s="38"/>
      <c r="AA113" s="39"/>
      <c r="AB113" s="38"/>
      <c r="AC113" s="39"/>
      <c r="AD113" s="38"/>
      <c r="AE113" s="39"/>
      <c r="AF113" s="38"/>
      <c r="AG113" s="38"/>
      <c r="AH113" s="38"/>
      <c r="AI113" s="39"/>
      <c r="AJ113" s="38"/>
      <c r="AK113" s="39"/>
      <c r="AL113" s="38"/>
      <c r="AM113" s="39"/>
      <c r="AN113" s="38"/>
      <c r="AO113" s="39"/>
      <c r="AP113" s="85"/>
      <c r="AQ113" s="39"/>
      <c r="AR113" s="20"/>
      <c r="AS113" s="20"/>
      <c r="AT113" s="38"/>
      <c r="AU113" s="128"/>
      <c r="AV113" s="127"/>
      <c r="AW113" s="20"/>
      <c r="AX113" s="38"/>
      <c r="AY113" s="139"/>
      <c r="AZ113" s="38"/>
      <c r="BA113" s="38"/>
      <c r="BB113" s="20"/>
      <c r="BC113" s="30"/>
      <c r="BD113" s="20"/>
      <c r="BE113" s="20"/>
      <c r="BF113" s="20"/>
    </row>
    <row r="114" spans="1:58" ht="18.75">
      <c r="A114" s="6"/>
      <c r="B114" s="91"/>
      <c r="C114" s="91"/>
      <c r="D114" s="105" t="s">
        <v>214</v>
      </c>
      <c r="E114" s="105"/>
      <c r="F114" s="143"/>
      <c r="G114" s="143"/>
      <c r="H114" s="91"/>
      <c r="I114" s="91"/>
      <c r="J114" s="154"/>
      <c r="K114" s="90"/>
      <c r="L114" s="154"/>
      <c r="M114" s="155"/>
      <c r="N114" s="90"/>
      <c r="O114" s="90"/>
      <c r="P114" s="154"/>
      <c r="Q114" s="155"/>
      <c r="R114" s="154"/>
      <c r="S114" s="155"/>
      <c r="T114" s="90"/>
      <c r="U114" s="90"/>
      <c r="V114" s="154"/>
      <c r="W114" s="155"/>
      <c r="X114" s="106" t="s">
        <v>218</v>
      </c>
      <c r="Y114" s="90"/>
      <c r="Z114" s="154"/>
      <c r="AA114" s="155"/>
      <c r="AB114" s="90"/>
      <c r="AC114" s="90"/>
      <c r="AD114" s="154"/>
      <c r="AE114" s="155"/>
      <c r="AF114" s="90"/>
      <c r="AG114" s="90"/>
      <c r="AH114" s="154"/>
      <c r="AI114" s="155"/>
      <c r="AJ114" s="90"/>
      <c r="AK114" s="90"/>
      <c r="AL114" s="154"/>
      <c r="AM114" s="155"/>
      <c r="AN114" s="154"/>
      <c r="AO114" s="260"/>
      <c r="AP114" s="144"/>
      <c r="AQ114" s="145"/>
      <c r="AR114" s="256"/>
      <c r="AS114" s="247"/>
      <c r="AT114" s="247"/>
      <c r="AU114" s="247"/>
      <c r="AV114" s="298"/>
      <c r="AW114" s="299" t="s">
        <v>239</v>
      </c>
      <c r="AX114" s="247"/>
      <c r="AY114" s="247"/>
      <c r="AZ114" s="165"/>
      <c r="BA114" s="166"/>
      <c r="BB114" s="247"/>
      <c r="BC114" s="247"/>
      <c r="BD114" s="247"/>
      <c r="BE114" s="300"/>
      <c r="BF114" s="15"/>
    </row>
    <row r="115" spans="1:58">
      <c r="A115" s="5"/>
      <c r="B115" s="455" t="s">
        <v>240</v>
      </c>
      <c r="C115" s="455"/>
      <c r="D115" s="452" t="s">
        <v>1</v>
      </c>
      <c r="E115" s="453"/>
      <c r="F115" s="452" t="s">
        <v>236</v>
      </c>
      <c r="G115" s="453"/>
      <c r="H115" s="455" t="s">
        <v>235</v>
      </c>
      <c r="I115" s="455"/>
      <c r="J115" s="449" t="s">
        <v>221</v>
      </c>
      <c r="K115" s="449"/>
      <c r="L115" s="446" t="s">
        <v>222</v>
      </c>
      <c r="M115" s="451"/>
      <c r="N115" s="449" t="s">
        <v>237</v>
      </c>
      <c r="O115" s="450"/>
      <c r="P115" s="446" t="s">
        <v>223</v>
      </c>
      <c r="Q115" s="451"/>
      <c r="R115" s="446" t="s">
        <v>224</v>
      </c>
      <c r="S115" s="451"/>
      <c r="T115" s="449" t="s">
        <v>225</v>
      </c>
      <c r="U115" s="450"/>
      <c r="V115" s="446" t="s">
        <v>226</v>
      </c>
      <c r="W115" s="451"/>
      <c r="X115" s="449" t="s">
        <v>227</v>
      </c>
      <c r="Y115" s="450"/>
      <c r="Z115" s="446" t="s">
        <v>219</v>
      </c>
      <c r="AA115" s="451"/>
      <c r="AB115" s="449" t="s">
        <v>228</v>
      </c>
      <c r="AC115" s="450"/>
      <c r="AD115" s="446" t="s">
        <v>229</v>
      </c>
      <c r="AE115" s="448"/>
      <c r="AF115" s="449" t="s">
        <v>230</v>
      </c>
      <c r="AG115" s="449"/>
      <c r="AH115" s="446" t="s">
        <v>231</v>
      </c>
      <c r="AI115" s="448"/>
      <c r="AJ115" s="449" t="s">
        <v>232</v>
      </c>
      <c r="AK115" s="449"/>
      <c r="AL115" s="446" t="s">
        <v>233</v>
      </c>
      <c r="AM115" s="451"/>
      <c r="AN115" s="446" t="s">
        <v>234</v>
      </c>
      <c r="AO115" s="454"/>
      <c r="AP115" s="446" t="s">
        <v>220</v>
      </c>
      <c r="AQ115" s="451"/>
      <c r="AR115" s="219" t="s">
        <v>4</v>
      </c>
      <c r="AS115" s="121" t="s">
        <v>5</v>
      </c>
      <c r="AT115" s="121" t="s">
        <v>6</v>
      </c>
      <c r="AU115" s="122" t="s">
        <v>7</v>
      </c>
      <c r="AV115" s="121" t="s">
        <v>8</v>
      </c>
      <c r="AW115" s="121" t="s">
        <v>9</v>
      </c>
      <c r="AX115" s="121" t="s">
        <v>10</v>
      </c>
      <c r="AY115" s="121" t="s">
        <v>11</v>
      </c>
      <c r="AZ115" s="457" t="s">
        <v>238</v>
      </c>
      <c r="BA115" s="458"/>
      <c r="BB115" s="121" t="s">
        <v>13</v>
      </c>
      <c r="BC115" s="121" t="s">
        <v>14</v>
      </c>
      <c r="BD115" s="121" t="s">
        <v>15</v>
      </c>
      <c r="BE115" s="220" t="s">
        <v>16</v>
      </c>
      <c r="BF115" s="15"/>
    </row>
    <row r="116" spans="1:58" ht="13.5" thickBot="1">
      <c r="A116" s="35" t="s">
        <v>84</v>
      </c>
      <c r="B116" s="149" t="s">
        <v>217</v>
      </c>
      <c r="C116" s="100" t="s">
        <v>215</v>
      </c>
      <c r="D116" s="149" t="s">
        <v>217</v>
      </c>
      <c r="E116" s="150" t="s">
        <v>215</v>
      </c>
      <c r="F116" s="149" t="s">
        <v>101</v>
      </c>
      <c r="G116" s="150" t="s">
        <v>215</v>
      </c>
      <c r="H116" s="100" t="s">
        <v>216</v>
      </c>
      <c r="I116" s="100" t="s">
        <v>215</v>
      </c>
      <c r="J116" s="146" t="s">
        <v>217</v>
      </c>
      <c r="K116" s="146" t="s">
        <v>215</v>
      </c>
      <c r="L116" s="151" t="s">
        <v>217</v>
      </c>
      <c r="M116" s="152" t="s">
        <v>215</v>
      </c>
      <c r="N116" s="146" t="s">
        <v>217</v>
      </c>
      <c r="O116" s="146" t="s">
        <v>215</v>
      </c>
      <c r="P116" s="151" t="s">
        <v>217</v>
      </c>
      <c r="Q116" s="152" t="s">
        <v>215</v>
      </c>
      <c r="R116" s="151" t="s">
        <v>217</v>
      </c>
      <c r="S116" s="152" t="s">
        <v>215</v>
      </c>
      <c r="T116" s="146" t="s">
        <v>217</v>
      </c>
      <c r="U116" s="146" t="s">
        <v>215</v>
      </c>
      <c r="V116" s="151" t="s">
        <v>217</v>
      </c>
      <c r="W116" s="152" t="s">
        <v>215</v>
      </c>
      <c r="X116" s="146" t="s">
        <v>217</v>
      </c>
      <c r="Y116" s="146" t="s">
        <v>215</v>
      </c>
      <c r="Z116" s="151" t="s">
        <v>217</v>
      </c>
      <c r="AA116" s="152" t="s">
        <v>215</v>
      </c>
      <c r="AB116" s="146" t="s">
        <v>217</v>
      </c>
      <c r="AC116" s="146" t="s">
        <v>215</v>
      </c>
      <c r="AD116" s="151" t="s">
        <v>217</v>
      </c>
      <c r="AE116" s="152" t="s">
        <v>215</v>
      </c>
      <c r="AF116" s="146" t="s">
        <v>217</v>
      </c>
      <c r="AG116" s="146" t="s">
        <v>215</v>
      </c>
      <c r="AH116" s="151" t="s">
        <v>217</v>
      </c>
      <c r="AI116" s="152" t="s">
        <v>215</v>
      </c>
      <c r="AJ116" s="146" t="s">
        <v>217</v>
      </c>
      <c r="AK116" s="146" t="s">
        <v>215</v>
      </c>
      <c r="AL116" s="151" t="s">
        <v>217</v>
      </c>
      <c r="AM116" s="152" t="s">
        <v>215</v>
      </c>
      <c r="AN116" s="151" t="s">
        <v>217</v>
      </c>
      <c r="AO116" s="146" t="s">
        <v>215</v>
      </c>
      <c r="AP116" s="151" t="s">
        <v>217</v>
      </c>
      <c r="AQ116" s="152" t="s">
        <v>215</v>
      </c>
      <c r="AR116" s="257" t="s">
        <v>93</v>
      </c>
      <c r="AS116" s="96" t="s">
        <v>91</v>
      </c>
      <c r="AT116" s="118" t="s">
        <v>91</v>
      </c>
      <c r="AU116" s="97" t="s">
        <v>91</v>
      </c>
      <c r="AV116" s="118" t="s">
        <v>93</v>
      </c>
      <c r="AW116" s="118" t="s">
        <v>91</v>
      </c>
      <c r="AX116" s="118" t="s">
        <v>91</v>
      </c>
      <c r="AY116" s="160" t="s">
        <v>91</v>
      </c>
      <c r="AZ116" s="161" t="s">
        <v>217</v>
      </c>
      <c r="BA116" s="162" t="s">
        <v>215</v>
      </c>
      <c r="BB116" s="159" t="s">
        <v>93</v>
      </c>
      <c r="BC116" s="118" t="s">
        <v>93</v>
      </c>
      <c r="BD116" s="118" t="s">
        <v>93</v>
      </c>
      <c r="BE116" s="301" t="s">
        <v>91</v>
      </c>
      <c r="BF116" s="15"/>
    </row>
    <row r="117" spans="1:58">
      <c r="A117" s="11" t="s">
        <v>38</v>
      </c>
      <c r="B117" s="54">
        <v>91.533970649495814</v>
      </c>
      <c r="C117" s="54">
        <f>(B117*'ADC''s, Trout'!C124)/100</f>
        <v>59.865855993132961</v>
      </c>
      <c r="D117" s="156">
        <v>3.8921646188312393</v>
      </c>
      <c r="E117" s="129">
        <f>(D117*'ADC''s, Trout'!D124)/100</f>
        <v>3.8921646188312393</v>
      </c>
      <c r="F117" s="204">
        <v>52.008013704868397</v>
      </c>
      <c r="G117" s="202">
        <f>(F117*'ADC''s, Trout'!E124)/100</f>
        <v>50.763472534180998</v>
      </c>
      <c r="H117" s="60">
        <v>5945.4179813076598</v>
      </c>
      <c r="I117" s="208">
        <f>(H117*'ADC''s, Trout'!F124)/100</f>
        <v>4141.7987148335851</v>
      </c>
      <c r="J117" s="54">
        <v>3.6598434179457859</v>
      </c>
      <c r="K117" s="51">
        <f>(J117*'ADC''s, Trout'!G124)/100</f>
        <v>3.0170536166997914</v>
      </c>
      <c r="L117" s="156">
        <v>2.2144783905003309</v>
      </c>
      <c r="M117" s="148">
        <f>(L117*'ADC''s, Trout'!H124)/100</f>
        <v>1.7901627117904224</v>
      </c>
      <c r="N117" s="54">
        <v>3.8346419095491666</v>
      </c>
      <c r="O117" s="51">
        <f>(N117*'ADC''s, Trout'!I124)/100</f>
        <v>2.7642959682101518</v>
      </c>
      <c r="P117" s="156">
        <v>7.6758387625334601</v>
      </c>
      <c r="Q117" s="148">
        <f>(P117*'ADC''s, Trout'!J124)/100</f>
        <v>6.420809454624381</v>
      </c>
      <c r="R117" s="156">
        <v>1.7567248406139773</v>
      </c>
      <c r="S117" s="148">
        <f>(R117*'ADC''s, Trout'!K124)/100</f>
        <v>1.3824327591305439</v>
      </c>
      <c r="T117" s="54">
        <v>1.0389585344675947</v>
      </c>
      <c r="U117" s="51">
        <f>(T117*'ADC''s, Trout'!L124)/100</f>
        <v>0.81963047681447998</v>
      </c>
      <c r="V117" s="156">
        <v>2.0418648800419921</v>
      </c>
      <c r="W117" s="148">
        <f>(V117*'ADC''s, Trout'!M124)/100</f>
        <v>1.6135506780471784</v>
      </c>
      <c r="X117" s="54">
        <v>5.9070965256217507</v>
      </c>
      <c r="Y117" s="51">
        <f>(X117*'ADC''s, Trout'!N124)/100</f>
        <v>4.9644259155897936</v>
      </c>
      <c r="Z117" s="156">
        <v>2.335744844050176</v>
      </c>
      <c r="AA117" s="148">
        <f>(Z117*'ADC''s, Trout'!O124)/100</f>
        <v>1.7644431527267619</v>
      </c>
      <c r="AB117" s="54">
        <v>0.98761147755910172</v>
      </c>
      <c r="AC117" s="51">
        <f>(AB117*'ADC''s, Trout'!P124)/100</f>
        <v>0.87057166569384326</v>
      </c>
      <c r="AD117" s="156">
        <v>2.8306430734022485</v>
      </c>
      <c r="AE117" s="148">
        <f>(AD117*'ADC''s, Trout'!Q124)/100</f>
        <v>2.5306689645254341</v>
      </c>
      <c r="AF117" s="54">
        <v>3.3594085105024751</v>
      </c>
      <c r="AG117" s="38">
        <f>(AF117*'ADC''s, Trout'!R124)/100</f>
        <v>2.7875728723969035</v>
      </c>
      <c r="AH117" s="156">
        <v>2.7039141669897968</v>
      </c>
      <c r="AI117" s="148">
        <f>(AH117*'ADC''s, Trout'!S124)/100</f>
        <v>2.0610441455892525</v>
      </c>
      <c r="AJ117" s="54">
        <v>2.1532989184391478</v>
      </c>
      <c r="AK117" s="51">
        <f>(AJ117*'ADC''s, Trout'!T124)/100</f>
        <v>1.5250883670789499</v>
      </c>
      <c r="AL117" s="156">
        <v>2.5192832602337258</v>
      </c>
      <c r="AM117" s="148">
        <f>(AL117*'ADC''s, Trout'!U124)/100</f>
        <v>2.1405866220975995</v>
      </c>
      <c r="AN117" s="156">
        <v>2.1795186921796543</v>
      </c>
      <c r="AO117" s="305">
        <f>(AN117*'ADC''s, Trout'!V124)/100</f>
        <v>1.7263304664178916</v>
      </c>
      <c r="AP117" s="204">
        <v>48.016053152876189</v>
      </c>
      <c r="AQ117" s="148">
        <f>(AP117*'ADC''s, Trout'!W124)/100</f>
        <v>38.741026361619561</v>
      </c>
      <c r="AR117" s="253">
        <v>0.17479849160338079</v>
      </c>
      <c r="AS117" s="20">
        <v>0.22942302022943731</v>
      </c>
      <c r="AT117" s="38">
        <v>72.104377786394579</v>
      </c>
      <c r="AU117" s="129">
        <v>57.902000343619896</v>
      </c>
      <c r="AV117" s="20">
        <v>9.0676717519253797E-2</v>
      </c>
      <c r="AW117" s="38">
        <v>9.8324151526901709</v>
      </c>
      <c r="AX117" s="138" t="s">
        <v>174</v>
      </c>
      <c r="AY117" s="138" t="s">
        <v>174</v>
      </c>
      <c r="AZ117" s="163">
        <v>0.66641924923788942</v>
      </c>
      <c r="BA117" s="164">
        <f>(AZ117*'ADC''s, Trout'!X124)/81</f>
        <v>0.66355340714688338</v>
      </c>
      <c r="BB117" s="20">
        <v>0.2403479259546486</v>
      </c>
      <c r="BC117" s="20">
        <v>4.042215118328181E-2</v>
      </c>
      <c r="BD117" s="20">
        <v>0.61179472061183282</v>
      </c>
      <c r="BE117" s="304">
        <v>3.6052188893197301</v>
      </c>
      <c r="BF117" s="15"/>
    </row>
    <row r="118" spans="1:58">
      <c r="A118" s="7" t="s">
        <v>195</v>
      </c>
      <c r="B118" s="54">
        <v>93.445648062712465</v>
      </c>
      <c r="C118" s="54">
        <f>(B118*'ADC''s, Trout'!C125)/100</f>
        <v>45.296920243616626</v>
      </c>
      <c r="D118" s="156">
        <v>11.728014943480513</v>
      </c>
      <c r="E118" s="129">
        <f>(D118*'ADC''s, Trout'!D125)/100</f>
        <v>11.728014943480513</v>
      </c>
      <c r="F118" s="156">
        <v>63.42082400694278</v>
      </c>
      <c r="G118" s="148">
        <f>(F118*'ADC''s, Trout'!E125)/100</f>
        <v>47.200685296403755</v>
      </c>
      <c r="H118" s="60">
        <v>4721.0642672618678</v>
      </c>
      <c r="I118" s="207">
        <f>(H118*'ADC''s, Trout'!F125)/100</f>
        <v>3236.7384933519993</v>
      </c>
      <c r="J118" s="54">
        <v>4.5887637240444556</v>
      </c>
      <c r="K118" s="51">
        <f>(J118*'ADC''s, Trout'!G125)/100</f>
        <v>3.3255987472662607</v>
      </c>
      <c r="L118" s="156">
        <v>4.2976854281162629</v>
      </c>
      <c r="M118" s="148">
        <f>(L118*'ADC''s, Trout'!H125)/100</f>
        <v>3.2449791816622162</v>
      </c>
      <c r="N118" s="54">
        <v>4.6294290742108934</v>
      </c>
      <c r="O118" s="51">
        <f>(N118*'ADC''s, Trout'!I125)/100</f>
        <v>2.2186293050754529</v>
      </c>
      <c r="P118" s="156">
        <v>7.0939633224558518</v>
      </c>
      <c r="Q118" s="148">
        <f>(P118*'ADC''s, Trout'!J125)/100</f>
        <v>4.751348339775701</v>
      </c>
      <c r="R118" s="156">
        <v>7.8452021597411159</v>
      </c>
      <c r="S118" s="148">
        <f>(R118*'ADC''s, Trout'!K125)/100</f>
        <v>5.3654581057560451</v>
      </c>
      <c r="T118" s="54">
        <v>1.0765616386167729</v>
      </c>
      <c r="U118" s="51">
        <f>(T118*'ADC''s, Trout'!L125)/100</f>
        <v>0.70493757715161076</v>
      </c>
      <c r="V118" s="156">
        <v>1.8385018838405724</v>
      </c>
      <c r="W118" s="148">
        <f>(V118*'ADC''s, Trout'!M125)/100</f>
        <v>1.2949000284706071</v>
      </c>
      <c r="X118" s="54">
        <v>3.3762942046082687</v>
      </c>
      <c r="Y118" s="51">
        <f>(X118*'ADC''s, Trout'!N125)/100</f>
        <v>2.4169186358422294</v>
      </c>
      <c r="Z118" s="156">
        <v>4.0911482549025076</v>
      </c>
      <c r="AA118" s="148">
        <f>(Z118*'ADC''s, Trout'!O125)/100</f>
        <v>2.8751989606931319</v>
      </c>
      <c r="AB118" s="54">
        <v>1.2188903641993085</v>
      </c>
      <c r="AC118" s="51">
        <f>(AB118*'ADC''s, Trout'!P125)/100</f>
        <v>0.98087657892328362</v>
      </c>
      <c r="AD118" s="156">
        <v>2.0503897610235953</v>
      </c>
      <c r="AE118" s="148">
        <f>(AD118*'ADC''s, Trout'!Q125)/100</f>
        <v>1.3808434649586729</v>
      </c>
      <c r="AF118" s="54">
        <v>4.6165873846846504</v>
      </c>
      <c r="AG118" s="38">
        <f>(AF118*'ADC''s, Trout'!R125)/100</f>
        <v>3.1330158160218819</v>
      </c>
      <c r="AH118" s="156">
        <v>2.5105503023806652</v>
      </c>
      <c r="AI118" s="148">
        <f>(AH118*'ADC''s, Trout'!S125)/100</f>
        <v>1.5373044866205676</v>
      </c>
      <c r="AJ118" s="54">
        <v>2.3082936923423252</v>
      </c>
      <c r="AK118" s="51">
        <f>(AJ118*'ADC''s, Trout'!T125)/100</f>
        <v>1.4882838959272713</v>
      </c>
      <c r="AL118" s="156">
        <v>1.5538444326755012</v>
      </c>
      <c r="AM118" s="148">
        <f>(AL118*'ADC''s, Trout'!U125)/100</f>
        <v>1.0868644502634204</v>
      </c>
      <c r="AN118" s="156">
        <v>2.0161452556202781</v>
      </c>
      <c r="AO118" s="39">
        <f>(AN118*'ADC''s, Trout'!V125)/100</f>
        <v>1.419295528967141</v>
      </c>
      <c r="AP118" s="156">
        <v>55.363733970018636</v>
      </c>
      <c r="AQ118" s="148">
        <f>(AP118*'ADC''s, Trout'!W125)/100</f>
        <v>37.44535860473637</v>
      </c>
      <c r="AR118" s="253">
        <v>6.2068166043511752</v>
      </c>
      <c r="AS118" s="175" t="s">
        <v>174</v>
      </c>
      <c r="AT118" s="38">
        <v>19.262534289365718</v>
      </c>
      <c r="AU118" s="129">
        <v>192.62534289365718</v>
      </c>
      <c r="AV118" s="20">
        <v>0.14981971113951115</v>
      </c>
      <c r="AW118" s="38">
        <v>14.981971113951113</v>
      </c>
      <c r="AX118" s="138" t="s">
        <v>174</v>
      </c>
      <c r="AY118" s="138" t="s">
        <v>174</v>
      </c>
      <c r="AZ118" s="163">
        <v>3.8525068578731436</v>
      </c>
      <c r="BA118" s="164">
        <f>(AZ118*'ADC''s, Trout'!X125)/81</f>
        <v>0.27488993201855716</v>
      </c>
      <c r="BB118" s="20">
        <v>0.68489010806633654</v>
      </c>
      <c r="BC118" s="20">
        <v>0.47086194929560637</v>
      </c>
      <c r="BD118" s="20">
        <v>0.5564732128038985</v>
      </c>
      <c r="BE118" s="304">
        <v>12.841689526243812</v>
      </c>
      <c r="BF118" s="15"/>
    </row>
    <row r="119" spans="1:58">
      <c r="A119" s="7" t="s">
        <v>167</v>
      </c>
      <c r="B119" s="54">
        <v>92.202410188043785</v>
      </c>
      <c r="C119" s="54">
        <f>(B119*'ADC''s, Trout'!C126)/100</f>
        <v>63.420708329892385</v>
      </c>
      <c r="D119" s="156">
        <v>9.3150303420409148</v>
      </c>
      <c r="E119" s="129">
        <f>(D119*'ADC''s, Trout'!D126)/100</f>
        <v>9.3150303420409148</v>
      </c>
      <c r="F119" s="156">
        <v>68.785620539260208</v>
      </c>
      <c r="G119" s="148">
        <f>(F119*'ADC''s, Trout'!E126)/100</f>
        <v>59.78067868355177</v>
      </c>
      <c r="H119" s="60">
        <v>4744.0963214291487</v>
      </c>
      <c r="I119" s="207">
        <f>(H119*'ADC''s, Trout'!F126)/100</f>
        <v>4005.9810669067224</v>
      </c>
      <c r="J119" s="59" t="s">
        <v>212</v>
      </c>
      <c r="K119" s="59" t="s">
        <v>212</v>
      </c>
      <c r="L119" s="59" t="s">
        <v>212</v>
      </c>
      <c r="M119" s="59" t="s">
        <v>212</v>
      </c>
      <c r="N119" s="59" t="s">
        <v>212</v>
      </c>
      <c r="O119" s="59" t="s">
        <v>212</v>
      </c>
      <c r="P119" s="59" t="s">
        <v>212</v>
      </c>
      <c r="Q119" s="59" t="s">
        <v>212</v>
      </c>
      <c r="R119" s="59" t="s">
        <v>212</v>
      </c>
      <c r="S119" s="59" t="s">
        <v>212</v>
      </c>
      <c r="T119" s="59" t="s">
        <v>212</v>
      </c>
      <c r="U119" s="59" t="s">
        <v>212</v>
      </c>
      <c r="V119" s="59" t="s">
        <v>212</v>
      </c>
      <c r="W119" s="59" t="s">
        <v>212</v>
      </c>
      <c r="X119" s="59" t="s">
        <v>212</v>
      </c>
      <c r="Y119" s="59" t="s">
        <v>212</v>
      </c>
      <c r="Z119" s="59" t="s">
        <v>212</v>
      </c>
      <c r="AA119" s="59" t="s">
        <v>212</v>
      </c>
      <c r="AB119" s="59" t="s">
        <v>212</v>
      </c>
      <c r="AC119" s="59" t="s">
        <v>212</v>
      </c>
      <c r="AD119" s="59" t="s">
        <v>212</v>
      </c>
      <c r="AE119" s="59" t="s">
        <v>212</v>
      </c>
      <c r="AF119" s="59" t="s">
        <v>212</v>
      </c>
      <c r="AG119" s="59" t="s">
        <v>212</v>
      </c>
      <c r="AH119" s="59" t="s">
        <v>212</v>
      </c>
      <c r="AI119" s="59" t="s">
        <v>212</v>
      </c>
      <c r="AJ119" s="59" t="s">
        <v>212</v>
      </c>
      <c r="AK119" s="59" t="s">
        <v>212</v>
      </c>
      <c r="AL119" s="59" t="s">
        <v>212</v>
      </c>
      <c r="AM119" s="59" t="s">
        <v>212</v>
      </c>
      <c r="AN119" s="59" t="s">
        <v>212</v>
      </c>
      <c r="AO119" s="59" t="s">
        <v>212</v>
      </c>
      <c r="AP119" s="315" t="s">
        <v>212</v>
      </c>
      <c r="AQ119" s="59" t="s">
        <v>212</v>
      </c>
      <c r="AR119" s="253">
        <v>6.3989650465396126</v>
      </c>
      <c r="AS119" s="20">
        <v>0.49890235956071549</v>
      </c>
      <c r="AT119" s="38">
        <v>45.551954568587071</v>
      </c>
      <c r="AU119" s="129">
        <v>488.05665609200423</v>
      </c>
      <c r="AV119" s="20">
        <v>0.2494511797803578</v>
      </c>
      <c r="AW119" s="38">
        <v>40.129102834231468</v>
      </c>
      <c r="AX119" s="138" t="s">
        <v>174</v>
      </c>
      <c r="AY119" s="138" t="s">
        <v>174</v>
      </c>
      <c r="AZ119" s="163">
        <v>4.3382813874844821</v>
      </c>
      <c r="BA119" s="164">
        <f>(AZ119*'ADC''s, Trout'!X126)/81</f>
        <v>1.5424321324795784</v>
      </c>
      <c r="BB119" s="20">
        <v>1.3014844162453449</v>
      </c>
      <c r="BC119" s="20">
        <v>0.87850198096560783</v>
      </c>
      <c r="BD119" s="20">
        <v>1.0845703468711205</v>
      </c>
      <c r="BE119" s="304">
        <v>11.930273815582328</v>
      </c>
      <c r="BF119" s="15"/>
    </row>
    <row r="120" spans="1:58">
      <c r="A120" s="7" t="s">
        <v>168</v>
      </c>
      <c r="B120" s="54">
        <v>95.111270996373122</v>
      </c>
      <c r="C120" s="54">
        <f>(B120*'ADC''s, Trout'!C127)/100</f>
        <v>71.067682919985259</v>
      </c>
      <c r="D120" s="156">
        <v>11.169227572088575</v>
      </c>
      <c r="E120" s="129">
        <f>(D120*'ADC''s, Trout'!D127)/100</f>
        <v>11.169227572088575</v>
      </c>
      <c r="F120" s="156">
        <v>72.204376285349781</v>
      </c>
      <c r="G120" s="148">
        <f>(F120*'ADC''s, Trout'!E127)/100</f>
        <v>59.183598828885394</v>
      </c>
      <c r="H120" s="60">
        <v>5091.7780293196511</v>
      </c>
      <c r="I120" s="207">
        <f>(H120*'ADC''s, Trout'!F127)/100</f>
        <v>4244.7664586413275</v>
      </c>
      <c r="J120" s="59" t="s">
        <v>212</v>
      </c>
      <c r="K120" s="59" t="s">
        <v>212</v>
      </c>
      <c r="L120" s="59" t="s">
        <v>212</v>
      </c>
      <c r="M120" s="59" t="s">
        <v>212</v>
      </c>
      <c r="N120" s="59" t="s">
        <v>212</v>
      </c>
      <c r="O120" s="59" t="s">
        <v>212</v>
      </c>
      <c r="P120" s="59" t="s">
        <v>212</v>
      </c>
      <c r="Q120" s="59" t="s">
        <v>212</v>
      </c>
      <c r="R120" s="59" t="s">
        <v>212</v>
      </c>
      <c r="S120" s="59" t="s">
        <v>212</v>
      </c>
      <c r="T120" s="59" t="s">
        <v>212</v>
      </c>
      <c r="U120" s="59" t="s">
        <v>212</v>
      </c>
      <c r="V120" s="59" t="s">
        <v>212</v>
      </c>
      <c r="W120" s="59" t="s">
        <v>212</v>
      </c>
      <c r="X120" s="59" t="s">
        <v>212</v>
      </c>
      <c r="Y120" s="59" t="s">
        <v>212</v>
      </c>
      <c r="Z120" s="59" t="s">
        <v>212</v>
      </c>
      <c r="AA120" s="59" t="s">
        <v>212</v>
      </c>
      <c r="AB120" s="59" t="s">
        <v>212</v>
      </c>
      <c r="AC120" s="59" t="s">
        <v>212</v>
      </c>
      <c r="AD120" s="59" t="s">
        <v>212</v>
      </c>
      <c r="AE120" s="59" t="s">
        <v>212</v>
      </c>
      <c r="AF120" s="59" t="s">
        <v>212</v>
      </c>
      <c r="AG120" s="59" t="s">
        <v>212</v>
      </c>
      <c r="AH120" s="59" t="s">
        <v>212</v>
      </c>
      <c r="AI120" s="59" t="s">
        <v>212</v>
      </c>
      <c r="AJ120" s="59" t="s">
        <v>212</v>
      </c>
      <c r="AK120" s="59" t="s">
        <v>212</v>
      </c>
      <c r="AL120" s="59" t="s">
        <v>212</v>
      </c>
      <c r="AM120" s="59" t="s">
        <v>212</v>
      </c>
      <c r="AN120" s="59" t="s">
        <v>212</v>
      </c>
      <c r="AO120" s="59" t="s">
        <v>212</v>
      </c>
      <c r="AP120" s="315" t="s">
        <v>212</v>
      </c>
      <c r="AQ120" s="59" t="s">
        <v>212</v>
      </c>
      <c r="AR120" s="253">
        <v>3.5747603458370905</v>
      </c>
      <c r="AS120" s="20">
        <v>0.13668201322318285</v>
      </c>
      <c r="AT120" s="38">
        <v>88.317608544210472</v>
      </c>
      <c r="AU120" s="129">
        <v>241.82202339486196</v>
      </c>
      <c r="AV120" s="20">
        <v>0.34696203356654115</v>
      </c>
      <c r="AW120" s="38">
        <v>9.9883009663095184</v>
      </c>
      <c r="AX120" s="138" t="s">
        <v>174</v>
      </c>
      <c r="AY120" s="138" t="s">
        <v>174</v>
      </c>
      <c r="AZ120" s="163">
        <v>2.733640264463657</v>
      </c>
      <c r="BA120" s="164">
        <f>(AZ120*'ADC''s, Trout'!X127)/81</f>
        <v>1.0663282230627769</v>
      </c>
      <c r="BB120" s="20">
        <v>1.0093440976481196</v>
      </c>
      <c r="BC120" s="20">
        <v>1.7873801729185452</v>
      </c>
      <c r="BD120" s="20">
        <v>1.0408861006996235</v>
      </c>
      <c r="BE120" s="304">
        <v>14.71960142403508</v>
      </c>
      <c r="BF120" s="15"/>
    </row>
    <row r="121" spans="1:58" s="19" customFormat="1">
      <c r="A121" s="28"/>
      <c r="B121" s="38"/>
      <c r="C121" s="38"/>
      <c r="D121" s="38"/>
      <c r="E121" s="38"/>
      <c r="F121" s="38"/>
      <c r="G121" s="39"/>
      <c r="H121" s="85"/>
      <c r="I121" s="26"/>
      <c r="J121" s="38"/>
      <c r="K121" s="39"/>
      <c r="L121" s="38"/>
      <c r="M121" s="39"/>
      <c r="N121" s="38"/>
      <c r="O121" s="39"/>
      <c r="P121" s="38"/>
      <c r="Q121" s="39"/>
      <c r="R121" s="38"/>
      <c r="S121" s="39"/>
      <c r="T121" s="38"/>
      <c r="U121" s="39"/>
      <c r="V121" s="38"/>
      <c r="W121" s="39"/>
      <c r="X121" s="38"/>
      <c r="Y121" s="39"/>
      <c r="Z121" s="38"/>
      <c r="AA121" s="39"/>
      <c r="AB121" s="38"/>
      <c r="AC121" s="39"/>
      <c r="AD121" s="38"/>
      <c r="AE121" s="39"/>
      <c r="AF121" s="38"/>
      <c r="AG121" s="38"/>
      <c r="AH121" s="38"/>
      <c r="AI121" s="39"/>
      <c r="AJ121" s="38"/>
      <c r="AK121" s="39"/>
      <c r="AL121" s="38"/>
      <c r="AM121" s="39"/>
      <c r="AN121" s="38"/>
      <c r="AO121" s="39"/>
      <c r="AP121" s="26"/>
      <c r="AQ121" s="39"/>
      <c r="AR121" s="20"/>
      <c r="AS121" s="20"/>
      <c r="AT121" s="38"/>
      <c r="AU121" s="128"/>
      <c r="AV121" s="20"/>
      <c r="AW121" s="38"/>
      <c r="AX121" s="38"/>
      <c r="AY121" s="38"/>
      <c r="AZ121" s="20"/>
      <c r="BA121" s="20"/>
      <c r="BB121" s="178"/>
      <c r="BC121" s="20"/>
      <c r="BD121" s="20"/>
      <c r="BE121" s="20"/>
      <c r="BF121" s="20"/>
    </row>
    <row r="122" spans="1:58" s="19" customFormat="1">
      <c r="A122" s="28"/>
      <c r="B122" s="38"/>
      <c r="C122" s="38"/>
      <c r="D122" s="38"/>
      <c r="E122" s="38"/>
      <c r="F122" s="38"/>
      <c r="G122" s="39"/>
      <c r="H122" s="85"/>
      <c r="I122" s="26"/>
      <c r="J122" s="38"/>
      <c r="K122" s="39"/>
      <c r="L122" s="38"/>
      <c r="M122" s="39"/>
      <c r="N122" s="38"/>
      <c r="O122" s="39"/>
      <c r="P122" s="38"/>
      <c r="Q122" s="39"/>
      <c r="R122" s="38"/>
      <c r="S122" s="39"/>
      <c r="T122" s="38"/>
      <c r="U122" s="39"/>
      <c r="V122" s="38"/>
      <c r="W122" s="39"/>
      <c r="X122" s="38"/>
      <c r="Y122" s="39"/>
      <c r="Z122" s="38"/>
      <c r="AA122" s="39"/>
      <c r="AB122" s="38"/>
      <c r="AC122" s="39"/>
      <c r="AD122" s="38"/>
      <c r="AE122" s="39"/>
      <c r="AF122" s="38"/>
      <c r="AG122" s="38"/>
      <c r="AH122" s="38"/>
      <c r="AI122" s="39"/>
      <c r="AJ122" s="38"/>
      <c r="AK122" s="39"/>
      <c r="AL122" s="38"/>
      <c r="AM122" s="39"/>
      <c r="AN122" s="38"/>
      <c r="AO122" s="39"/>
      <c r="AP122" s="26"/>
      <c r="AQ122" s="39"/>
      <c r="AR122" s="20"/>
      <c r="AS122" s="20"/>
      <c r="AT122" s="38"/>
      <c r="AU122" s="128"/>
      <c r="AV122" s="20"/>
      <c r="AW122" s="38"/>
      <c r="AX122" s="38"/>
      <c r="AY122" s="38"/>
      <c r="AZ122" s="20"/>
      <c r="BA122" s="20"/>
      <c r="BB122" s="178"/>
      <c r="BC122" s="20"/>
      <c r="BD122" s="20"/>
      <c r="BE122" s="20"/>
      <c r="BF122" s="20"/>
    </row>
    <row r="123" spans="1:58" s="19" customFormat="1">
      <c r="A123" s="6"/>
      <c r="B123" s="20"/>
      <c r="C123" s="20"/>
      <c r="D123" s="20"/>
      <c r="E123" s="20"/>
      <c r="F123" s="20"/>
      <c r="G123" s="39"/>
      <c r="H123" s="85"/>
      <c r="I123" s="26"/>
      <c r="J123" s="38"/>
      <c r="K123" s="39"/>
      <c r="L123" s="38"/>
      <c r="M123" s="39"/>
      <c r="N123" s="38"/>
      <c r="O123" s="39"/>
      <c r="P123" s="38"/>
      <c r="Q123" s="39"/>
      <c r="R123" s="38"/>
      <c r="S123" s="39"/>
      <c r="T123" s="38"/>
      <c r="U123" s="39"/>
      <c r="V123" s="38"/>
      <c r="W123" s="39"/>
      <c r="X123" s="38"/>
      <c r="Y123" s="39"/>
      <c r="Z123" s="38"/>
      <c r="AA123" s="39"/>
      <c r="AB123" s="38"/>
      <c r="AC123" s="39"/>
      <c r="AD123" s="38"/>
      <c r="AE123" s="39"/>
      <c r="AF123" s="38"/>
      <c r="AG123" s="38"/>
      <c r="AH123" s="38"/>
      <c r="AI123" s="39"/>
      <c r="AJ123" s="38"/>
      <c r="AK123" s="39"/>
      <c r="AL123" s="38"/>
      <c r="AM123" s="39"/>
      <c r="AN123" s="38"/>
      <c r="AO123" s="39"/>
      <c r="AP123" s="26"/>
      <c r="AQ123" s="39"/>
      <c r="AR123" s="20"/>
      <c r="AS123" s="20"/>
      <c r="AT123" s="38"/>
      <c r="AU123" s="128"/>
      <c r="AV123" s="179"/>
      <c r="AW123" s="20"/>
      <c r="AX123" s="38"/>
      <c r="AY123" s="139"/>
      <c r="AZ123" s="139"/>
      <c r="BA123" s="139"/>
      <c r="BB123" s="20"/>
      <c r="BC123" s="178"/>
      <c r="BD123" s="20"/>
      <c r="BE123" s="20"/>
    </row>
    <row r="124" spans="1:58" ht="18.75">
      <c r="A124" s="7"/>
      <c r="B124" s="91"/>
      <c r="C124" s="91"/>
      <c r="D124" s="105" t="s">
        <v>214</v>
      </c>
      <c r="E124" s="105"/>
      <c r="F124" s="143"/>
      <c r="G124" s="143"/>
      <c r="H124" s="91"/>
      <c r="I124" s="91"/>
      <c r="J124" s="154"/>
      <c r="K124" s="90"/>
      <c r="L124" s="154"/>
      <c r="M124" s="155"/>
      <c r="N124" s="90"/>
      <c r="O124" s="90"/>
      <c r="P124" s="154"/>
      <c r="Q124" s="155"/>
      <c r="R124" s="154"/>
      <c r="S124" s="155"/>
      <c r="T124" s="90"/>
      <c r="U124" s="90"/>
      <c r="V124" s="154"/>
      <c r="W124" s="155"/>
      <c r="X124" s="106" t="s">
        <v>218</v>
      </c>
      <c r="Y124" s="90"/>
      <c r="Z124" s="154"/>
      <c r="AA124" s="155"/>
      <c r="AB124" s="90"/>
      <c r="AC124" s="90"/>
      <c r="AD124" s="154"/>
      <c r="AE124" s="155"/>
      <c r="AF124" s="90"/>
      <c r="AG124" s="90"/>
      <c r="AH124" s="154"/>
      <c r="AI124" s="155"/>
      <c r="AJ124" s="90"/>
      <c r="AK124" s="90"/>
      <c r="AL124" s="154"/>
      <c r="AM124" s="155"/>
      <c r="AN124" s="154"/>
      <c r="AO124" s="260"/>
      <c r="AP124" s="144"/>
      <c r="AQ124" s="145"/>
      <c r="AR124" s="256"/>
      <c r="AS124" s="247"/>
      <c r="AT124" s="247"/>
      <c r="AU124" s="247"/>
      <c r="AV124" s="298"/>
      <c r="AW124" s="299" t="s">
        <v>239</v>
      </c>
      <c r="AX124" s="247"/>
      <c r="AY124" s="247"/>
      <c r="AZ124" s="165"/>
      <c r="BA124" s="166"/>
      <c r="BB124" s="247"/>
      <c r="BC124" s="247"/>
      <c r="BD124" s="247"/>
      <c r="BE124" s="300"/>
    </row>
    <row r="125" spans="1:58">
      <c r="B125" s="455" t="s">
        <v>240</v>
      </c>
      <c r="C125" s="455"/>
      <c r="D125" s="452" t="s">
        <v>1</v>
      </c>
      <c r="E125" s="453"/>
      <c r="F125" s="452" t="s">
        <v>236</v>
      </c>
      <c r="G125" s="453"/>
      <c r="H125" s="455" t="s">
        <v>235</v>
      </c>
      <c r="I125" s="455"/>
      <c r="J125" s="449" t="s">
        <v>221</v>
      </c>
      <c r="K125" s="449"/>
      <c r="L125" s="446" t="s">
        <v>222</v>
      </c>
      <c r="M125" s="451"/>
      <c r="N125" s="449" t="s">
        <v>237</v>
      </c>
      <c r="O125" s="450"/>
      <c r="P125" s="446" t="s">
        <v>223</v>
      </c>
      <c r="Q125" s="451"/>
      <c r="R125" s="446" t="s">
        <v>224</v>
      </c>
      <c r="S125" s="451"/>
      <c r="T125" s="449" t="s">
        <v>225</v>
      </c>
      <c r="U125" s="450"/>
      <c r="V125" s="446" t="s">
        <v>226</v>
      </c>
      <c r="W125" s="451"/>
      <c r="X125" s="449" t="s">
        <v>227</v>
      </c>
      <c r="Y125" s="450"/>
      <c r="Z125" s="446" t="s">
        <v>219</v>
      </c>
      <c r="AA125" s="451"/>
      <c r="AB125" s="449" t="s">
        <v>228</v>
      </c>
      <c r="AC125" s="450"/>
      <c r="AD125" s="446" t="s">
        <v>229</v>
      </c>
      <c r="AE125" s="448"/>
      <c r="AF125" s="449" t="s">
        <v>230</v>
      </c>
      <c r="AG125" s="449"/>
      <c r="AH125" s="446" t="s">
        <v>231</v>
      </c>
      <c r="AI125" s="448"/>
      <c r="AJ125" s="449" t="s">
        <v>232</v>
      </c>
      <c r="AK125" s="449"/>
      <c r="AL125" s="446" t="s">
        <v>233</v>
      </c>
      <c r="AM125" s="451"/>
      <c r="AN125" s="446" t="s">
        <v>234</v>
      </c>
      <c r="AO125" s="454"/>
      <c r="AP125" s="446" t="s">
        <v>220</v>
      </c>
      <c r="AQ125" s="451"/>
      <c r="AR125" s="219" t="s">
        <v>4</v>
      </c>
      <c r="AS125" s="121" t="s">
        <v>5</v>
      </c>
      <c r="AT125" s="121" t="s">
        <v>6</v>
      </c>
      <c r="AU125" s="122" t="s">
        <v>7</v>
      </c>
      <c r="AV125" s="121" t="s">
        <v>8</v>
      </c>
      <c r="AW125" s="121" t="s">
        <v>9</v>
      </c>
      <c r="AX125" s="121" t="s">
        <v>10</v>
      </c>
      <c r="AY125" s="121" t="s">
        <v>11</v>
      </c>
      <c r="AZ125" s="457" t="s">
        <v>238</v>
      </c>
      <c r="BA125" s="458"/>
      <c r="BB125" s="121" t="s">
        <v>13</v>
      </c>
      <c r="BC125" s="121" t="s">
        <v>14</v>
      </c>
      <c r="BD125" s="121" t="s">
        <v>15</v>
      </c>
      <c r="BE125" s="220" t="s">
        <v>16</v>
      </c>
    </row>
    <row r="126" spans="1:58" ht="13.5" thickBot="1">
      <c r="A126" s="35" t="s">
        <v>85</v>
      </c>
      <c r="B126" s="149" t="s">
        <v>217</v>
      </c>
      <c r="C126" s="100" t="s">
        <v>215</v>
      </c>
      <c r="D126" s="149" t="s">
        <v>217</v>
      </c>
      <c r="E126" s="150" t="s">
        <v>215</v>
      </c>
      <c r="F126" s="149" t="s">
        <v>101</v>
      </c>
      <c r="G126" s="150" t="s">
        <v>215</v>
      </c>
      <c r="H126" s="100" t="s">
        <v>216</v>
      </c>
      <c r="I126" s="100" t="s">
        <v>215</v>
      </c>
      <c r="J126" s="146" t="s">
        <v>217</v>
      </c>
      <c r="K126" s="146" t="s">
        <v>215</v>
      </c>
      <c r="L126" s="151" t="s">
        <v>217</v>
      </c>
      <c r="M126" s="152" t="s">
        <v>215</v>
      </c>
      <c r="N126" s="146" t="s">
        <v>217</v>
      </c>
      <c r="O126" s="146" t="s">
        <v>215</v>
      </c>
      <c r="P126" s="151" t="s">
        <v>217</v>
      </c>
      <c r="Q126" s="152" t="s">
        <v>215</v>
      </c>
      <c r="R126" s="151" t="s">
        <v>217</v>
      </c>
      <c r="S126" s="152" t="s">
        <v>215</v>
      </c>
      <c r="T126" s="146" t="s">
        <v>217</v>
      </c>
      <c r="U126" s="146" t="s">
        <v>215</v>
      </c>
      <c r="V126" s="151" t="s">
        <v>217</v>
      </c>
      <c r="W126" s="152" t="s">
        <v>215</v>
      </c>
      <c r="X126" s="146" t="s">
        <v>217</v>
      </c>
      <c r="Y126" s="146" t="s">
        <v>215</v>
      </c>
      <c r="Z126" s="151" t="s">
        <v>217</v>
      </c>
      <c r="AA126" s="152" t="s">
        <v>215</v>
      </c>
      <c r="AB126" s="146" t="s">
        <v>217</v>
      </c>
      <c r="AC126" s="146" t="s">
        <v>215</v>
      </c>
      <c r="AD126" s="151" t="s">
        <v>217</v>
      </c>
      <c r="AE126" s="152" t="s">
        <v>215</v>
      </c>
      <c r="AF126" s="146" t="s">
        <v>217</v>
      </c>
      <c r="AG126" s="146" t="s">
        <v>215</v>
      </c>
      <c r="AH126" s="151" t="s">
        <v>217</v>
      </c>
      <c r="AI126" s="152" t="s">
        <v>215</v>
      </c>
      <c r="AJ126" s="146" t="s">
        <v>217</v>
      </c>
      <c r="AK126" s="146" t="s">
        <v>215</v>
      </c>
      <c r="AL126" s="151" t="s">
        <v>217</v>
      </c>
      <c r="AM126" s="152" t="s">
        <v>215</v>
      </c>
      <c r="AN126" s="151" t="s">
        <v>217</v>
      </c>
      <c r="AO126" s="146" t="s">
        <v>215</v>
      </c>
      <c r="AP126" s="151" t="s">
        <v>217</v>
      </c>
      <c r="AQ126" s="152" t="s">
        <v>215</v>
      </c>
      <c r="AR126" s="257" t="s">
        <v>93</v>
      </c>
      <c r="AS126" s="96" t="s">
        <v>91</v>
      </c>
      <c r="AT126" s="118" t="s">
        <v>91</v>
      </c>
      <c r="AU126" s="97" t="s">
        <v>91</v>
      </c>
      <c r="AV126" s="118" t="s">
        <v>93</v>
      </c>
      <c r="AW126" s="118" t="s">
        <v>91</v>
      </c>
      <c r="AX126" s="118" t="s">
        <v>91</v>
      </c>
      <c r="AY126" s="160" t="s">
        <v>91</v>
      </c>
      <c r="AZ126" s="161" t="s">
        <v>217</v>
      </c>
      <c r="BA126" s="162" t="s">
        <v>215</v>
      </c>
      <c r="BB126" s="159" t="s">
        <v>93</v>
      </c>
      <c r="BC126" s="118" t="s">
        <v>93</v>
      </c>
      <c r="BD126" s="118" t="s">
        <v>93</v>
      </c>
      <c r="BE126" s="301" t="s">
        <v>91</v>
      </c>
    </row>
    <row r="127" spans="1:58">
      <c r="A127" s="43" t="s">
        <v>160</v>
      </c>
      <c r="B127" s="68">
        <v>92.31</v>
      </c>
      <c r="C127" s="68">
        <f>(B127*'ADC''s, Trout'!C135)/100</f>
        <v>79.877241151038092</v>
      </c>
      <c r="D127" s="129">
        <v>16.73</v>
      </c>
      <c r="E127" s="129">
        <f>(D127*'ADC''s, Trout'!D135)/100</f>
        <v>16.73</v>
      </c>
      <c r="F127" s="205">
        <v>49.1</v>
      </c>
      <c r="G127" s="202">
        <f>(F127*'ADC''s, Trout'!E135)/100</f>
        <v>49.1</v>
      </c>
      <c r="H127" s="61" t="s">
        <v>212</v>
      </c>
      <c r="I127" s="61" t="s">
        <v>212</v>
      </c>
      <c r="J127" s="322">
        <v>1.993241424003436</v>
      </c>
      <c r="K127" s="51">
        <f>(J127*'ADC''s, Trout'!G135)/100</f>
        <v>1.993241424003436</v>
      </c>
      <c r="L127" s="205">
        <v>3.8239903406152873</v>
      </c>
      <c r="M127" s="148">
        <f>(L127*'ADC''s, Trout'!H135)/100</f>
        <v>3.8239903406152873</v>
      </c>
      <c r="N127" s="129">
        <v>5.568076586618294</v>
      </c>
      <c r="O127" s="51">
        <f>(N127*'ADC''s, Trout'!I135)/100</f>
        <v>5.5478837899802738</v>
      </c>
      <c r="P127" s="205">
        <v>8.200455206361962</v>
      </c>
      <c r="Q127" s="148">
        <f>(P127*'ADC''s, Trout'!J135)/100</f>
        <v>8.107672548967793</v>
      </c>
      <c r="R127" s="129">
        <v>1.8307489166118516</v>
      </c>
      <c r="S127" s="148">
        <f>(R127*'ADC''s, Trout'!K135)/100</f>
        <v>1.8307489166118516</v>
      </c>
      <c r="T127" s="129">
        <v>1.1807788870455138</v>
      </c>
      <c r="U127" s="51">
        <f>(T127*'ADC''s, Trout'!L135)/100</f>
        <v>1.1807788870455138</v>
      </c>
      <c r="V127" s="205">
        <v>1.9174115872206965</v>
      </c>
      <c r="W127" s="148">
        <f>(V127*'ADC''s, Trout'!M135)/100</f>
        <v>1.9174115872206965</v>
      </c>
      <c r="X127" s="129">
        <v>3.6614978332237031</v>
      </c>
      <c r="Y127" s="51">
        <f>(X127*'ADC''s, Trout'!N135)/100</f>
        <v>3.6614978332237031</v>
      </c>
      <c r="Z127" s="205">
        <v>2.5240502814826118</v>
      </c>
      <c r="AA127" s="148">
        <f>(Z127*'ADC''s, Trout'!O135)/100</f>
        <v>2.5240502814826118</v>
      </c>
      <c r="AB127" s="129">
        <v>0.51997602365307027</v>
      </c>
      <c r="AC127" s="51">
        <f>(AB127*'ADC''s, Trout'!P135)/100</f>
        <v>0.51997602365307027</v>
      </c>
      <c r="AD127" s="205">
        <v>2.1882324328733374</v>
      </c>
      <c r="AE127" s="148">
        <f>(AD127*'ADC''s, Trout'!Q135)/100</f>
        <v>2.1882324328733374</v>
      </c>
      <c r="AF127" s="129">
        <v>2.8598681300918862</v>
      </c>
      <c r="AG127" s="38">
        <f>(AF127*'ADC''s, Trout'!R135)/100</f>
        <v>2.8375210098252963</v>
      </c>
      <c r="AH127" s="205">
        <v>2.599880118265351</v>
      </c>
      <c r="AI127" s="148">
        <f>(AH127*'ADC''s, Trout'!S135)/100</f>
        <v>2.4899973145212098</v>
      </c>
      <c r="AJ127" s="129">
        <v>1.9499100886990135</v>
      </c>
      <c r="AK127" s="51">
        <f>(AJ127*'ADC''s, Trout'!T135)/100</f>
        <v>1.8020250960000275</v>
      </c>
      <c r="AL127" s="205">
        <v>1.81</v>
      </c>
      <c r="AM127" s="148">
        <f>(AL127*'ADC''s, Trout'!U135)/100</f>
        <v>1.81</v>
      </c>
      <c r="AN127" s="129">
        <v>2.2599999999999998</v>
      </c>
      <c r="AO127" s="305">
        <f>(AN127*'ADC''s, Trout'!V135)/100</f>
        <v>2.2599999999999998</v>
      </c>
      <c r="AP127" s="205">
        <v>44.85</v>
      </c>
      <c r="AQ127" s="148">
        <f>(AP127*'ADC''s, Trout'!W135)/100</f>
        <v>44.85</v>
      </c>
      <c r="AR127" s="232" t="s">
        <v>208</v>
      </c>
      <c r="AS127" s="59" t="s">
        <v>212</v>
      </c>
      <c r="AT127" s="59" t="s">
        <v>212</v>
      </c>
      <c r="AU127" s="85">
        <v>27.202672652377963</v>
      </c>
      <c r="AV127" s="59" t="s">
        <v>212</v>
      </c>
      <c r="AW127" s="59" t="s">
        <v>212</v>
      </c>
      <c r="AX127" s="59" t="s">
        <v>212</v>
      </c>
      <c r="AY127" s="59" t="s">
        <v>212</v>
      </c>
      <c r="AZ127" s="59" t="s">
        <v>212</v>
      </c>
      <c r="BA127" s="59" t="s">
        <v>212</v>
      </c>
      <c r="BB127" s="18">
        <v>2.0925132809521507</v>
      </c>
      <c r="BC127" s="59" t="s">
        <v>212</v>
      </c>
      <c r="BD127" s="23">
        <v>0.41850265619043014</v>
      </c>
      <c r="BE127" s="323">
        <v>5.1266575383327693</v>
      </c>
      <c r="BF127" s="128"/>
    </row>
    <row r="128" spans="1:58">
      <c r="A128" s="43" t="s">
        <v>159</v>
      </c>
      <c r="B128" s="68">
        <v>96.29</v>
      </c>
      <c r="C128" s="68">
        <f>(B128*'ADC''s, Trout'!C136)/100</f>
        <v>71.43343012842216</v>
      </c>
      <c r="D128" s="129">
        <v>16.690000000000001</v>
      </c>
      <c r="E128" s="129">
        <f>(D128*'ADC''s, Trout'!D136)/100</f>
        <v>16.705811301061711</v>
      </c>
      <c r="F128" s="158">
        <v>48.69</v>
      </c>
      <c r="G128" s="148">
        <f>(F128*'ADC''s, Trout'!E136)/100</f>
        <v>48.354757401045354</v>
      </c>
      <c r="H128" s="61" t="s">
        <v>212</v>
      </c>
      <c r="I128" s="61" t="s">
        <v>212</v>
      </c>
      <c r="J128" s="322">
        <v>2.0354681491652662</v>
      </c>
      <c r="K128" s="51">
        <f>(J128*'ADC''s, Trout'!G136)/100</f>
        <v>2.0354681491652662</v>
      </c>
      <c r="L128" s="158">
        <v>3.9463157994020461</v>
      </c>
      <c r="M128" s="148">
        <f>(L128*'ADC''s, Trout'!H136)/100</f>
        <v>3.9611176875155172</v>
      </c>
      <c r="N128" s="129">
        <v>5.742927992287715</v>
      </c>
      <c r="O128" s="51">
        <f>(N128*'ADC''s, Trout'!I136)/100</f>
        <v>5.4835415551302491</v>
      </c>
      <c r="P128" s="158">
        <v>8.8688255070772293</v>
      </c>
      <c r="Q128" s="148">
        <f>(P128*'ADC''s, Trout'!J136)/100</f>
        <v>8.4937042548348991</v>
      </c>
      <c r="R128" s="129">
        <v>1.8796925255046588</v>
      </c>
      <c r="S128" s="148">
        <f>(R128*'ADC''s, Trout'!K136)/100</f>
        <v>1.8045592680781768</v>
      </c>
      <c r="T128" s="129">
        <v>1.1631246566658664</v>
      </c>
      <c r="U128" s="51">
        <f>(T128*'ADC''s, Trout'!L136)/100</f>
        <v>1.158602586625286</v>
      </c>
      <c r="V128" s="158">
        <v>1.9316177333915279</v>
      </c>
      <c r="W128" s="148">
        <f>(V128*'ADC''s, Trout'!M136)/100</f>
        <v>1.9316177333915276</v>
      </c>
      <c r="X128" s="129">
        <v>3.6243795105034584</v>
      </c>
      <c r="Y128" s="51">
        <f>(X128*'ADC''s, Trout'!N136)/100</f>
        <v>3.624379510503458</v>
      </c>
      <c r="Z128" s="158">
        <v>2.4508698122602182</v>
      </c>
      <c r="AA128" s="148">
        <f>(Z128*'ADC''s, Trout'!O136)/100</f>
        <v>2.4327709924707159</v>
      </c>
      <c r="AB128" s="129">
        <v>0.56079224517818549</v>
      </c>
      <c r="AC128" s="51">
        <f>(AB128*'ADC''s, Trout'!P136)/100</f>
        <v>0.61037394725808913</v>
      </c>
      <c r="AD128" s="158">
        <v>2.243168980712742</v>
      </c>
      <c r="AE128" s="148">
        <f>(AD128*'ADC''s, Trout'!Q136)/100</f>
        <v>2.2035478968494222</v>
      </c>
      <c r="AF128" s="129">
        <v>2.8974266000872917</v>
      </c>
      <c r="AG128" s="38">
        <f>(AF128*'ADC''s, Trout'!R136)/100</f>
        <v>2.8109345710695393</v>
      </c>
      <c r="AH128" s="158">
        <v>2.7831911427361802</v>
      </c>
      <c r="AI128" s="148">
        <f>(AH128*'ADC''s, Trout'!S136)/100</f>
        <v>2.65880632460029</v>
      </c>
      <c r="AJ128" s="129">
        <v>2.0770083154747612</v>
      </c>
      <c r="AK128" s="51">
        <f>(AJ128*'ADC''s, Trout'!T136)/100</f>
        <v>1.8771965077595243</v>
      </c>
      <c r="AL128" s="158">
        <v>1.79</v>
      </c>
      <c r="AM128" s="148">
        <f>(AL128*'ADC''s, Trout'!U136)/100</f>
        <v>1.79</v>
      </c>
      <c r="AN128" s="129">
        <v>2.35</v>
      </c>
      <c r="AO128" s="39">
        <f>(AN128*'ADC''s, Trout'!V136)/100</f>
        <v>2.35</v>
      </c>
      <c r="AP128" s="158">
        <v>46.32</v>
      </c>
      <c r="AQ128" s="148">
        <f>(AP128*'ADC''s, Trout'!W136)/100</f>
        <v>45.340872584708158</v>
      </c>
      <c r="AR128" s="232" t="s">
        <v>212</v>
      </c>
      <c r="AS128" s="59" t="s">
        <v>212</v>
      </c>
      <c r="AT128" s="59" t="s">
        <v>212</v>
      </c>
      <c r="AU128" s="85">
        <v>66.464266095192357</v>
      </c>
      <c r="AV128" s="59" t="s">
        <v>212</v>
      </c>
      <c r="AW128" s="59" t="s">
        <v>212</v>
      </c>
      <c r="AX128" s="59" t="s">
        <v>212</v>
      </c>
      <c r="AY128" s="59" t="s">
        <v>212</v>
      </c>
      <c r="AZ128" s="59" t="s">
        <v>212</v>
      </c>
      <c r="BA128" s="59" t="s">
        <v>212</v>
      </c>
      <c r="BB128" s="45">
        <v>1.9731578997010231</v>
      </c>
      <c r="BC128" s="59" t="s">
        <v>212</v>
      </c>
      <c r="BD128" s="23">
        <v>0.4569418294044475</v>
      </c>
      <c r="BE128" s="304">
        <v>5.1925207886869034</v>
      </c>
      <c r="BF128" s="128"/>
    </row>
    <row r="129" spans="1:57">
      <c r="A129" s="43" t="s">
        <v>90</v>
      </c>
      <c r="B129" s="139">
        <v>91.953415905171539</v>
      </c>
      <c r="C129" s="68">
        <f>(B129*'ADC''s, Trout'!C137)/100</f>
        <v>62.052079328333541</v>
      </c>
      <c r="D129" s="139">
        <v>16.196454016472622</v>
      </c>
      <c r="E129" s="129">
        <f>(D129*'ADC''s, Trout'!D137)/100</f>
        <v>15.709020422532767</v>
      </c>
      <c r="F129" s="200">
        <v>43.656344470550877</v>
      </c>
      <c r="G129" s="148">
        <f>(F129*'ADC''s, Trout'!E137)/100</f>
        <v>40.861371025069232</v>
      </c>
      <c r="H129" s="61" t="s">
        <v>212</v>
      </c>
      <c r="I129" s="61" t="s">
        <v>212</v>
      </c>
      <c r="J129" s="322">
        <v>1.8052619183956169</v>
      </c>
      <c r="K129" s="51">
        <f>(J129*'ADC''s, Trout'!G137)/100</f>
        <v>1.6439607719305271</v>
      </c>
      <c r="L129" s="158">
        <v>3.0558951751154719</v>
      </c>
      <c r="M129" s="148">
        <f>(L129*'ADC''s, Trout'!H137)/100</f>
        <v>2.9166035772167489</v>
      </c>
      <c r="N129" s="129">
        <v>4.8285318781183975</v>
      </c>
      <c r="O129" s="51">
        <f>(N129*'ADC''s, Trout'!I137)/100</f>
        <v>4.236648276737732</v>
      </c>
      <c r="P129" s="158">
        <v>7.3732986787483625</v>
      </c>
      <c r="Q129" s="148">
        <f>(P129*'ADC''s, Trout'!J137)/100</f>
        <v>6.5769847004923578</v>
      </c>
      <c r="R129" s="129">
        <v>1.6312607696345935</v>
      </c>
      <c r="S129" s="148">
        <f>(R129*'ADC''s, Trout'!K137)/100</f>
        <v>1.371719530144762</v>
      </c>
      <c r="T129" s="129">
        <v>1.0222567489710119</v>
      </c>
      <c r="U129" s="51">
        <f>(T129*'ADC''s, Trout'!L137)/100</f>
        <v>0.92709411989726287</v>
      </c>
      <c r="V129" s="158">
        <v>1.7073862722175412</v>
      </c>
      <c r="W129" s="148">
        <f>(V129*'ADC''s, Trout'!M137)/100</f>
        <v>1.579085195784842</v>
      </c>
      <c r="X129" s="129">
        <v>3.2625215392691871</v>
      </c>
      <c r="Y129" s="51">
        <f>(X129*'ADC''s, Trout'!N137)/100</f>
        <v>3.0285554429686976</v>
      </c>
      <c r="Z129" s="158">
        <v>2.2620149338933029</v>
      </c>
      <c r="AA129" s="148">
        <f>(Z129*'ADC''s, Trout'!O137)/100</f>
        <v>2.1060520758807906</v>
      </c>
      <c r="AB129" s="129">
        <v>0.46762808729525013</v>
      </c>
      <c r="AC129" s="51">
        <f>(AB129*'ADC''s, Trout'!P137)/100</f>
        <v>0.44950565953996391</v>
      </c>
      <c r="AD129" s="158">
        <v>1.9357627799663844</v>
      </c>
      <c r="AE129" s="148">
        <f>(AD129*'ADC''s, Trout'!Q137)/100</f>
        <v>1.6114125676068676</v>
      </c>
      <c r="AF129" s="129">
        <v>2.4903914416421462</v>
      </c>
      <c r="AG129" s="38">
        <f>(AF129*'ADC''s, Trout'!R137)/100</f>
        <v>2.163104750566851</v>
      </c>
      <c r="AH129" s="158">
        <v>2.3055152210835588</v>
      </c>
      <c r="AI129" s="148">
        <f>(AH129*'ADC''s, Trout'!S137)/100</f>
        <v>1.9796567115265904</v>
      </c>
      <c r="AJ129" s="129">
        <v>1.761761631205361</v>
      </c>
      <c r="AK129" s="51">
        <f>(AJ129*'ADC''s, Trout'!T137)/100</f>
        <v>1.3674789000590986</v>
      </c>
      <c r="AL129" s="158">
        <v>1.59</v>
      </c>
      <c r="AM129" s="148">
        <f>(AL129*'ADC''s, Trout'!U137)/100</f>
        <v>1.5390024230371171</v>
      </c>
      <c r="AN129" s="129">
        <v>2.06</v>
      </c>
      <c r="AO129" s="39">
        <f>(AN129*'ADC''s, Trout'!V137)/100</f>
        <v>1.8556071642064156</v>
      </c>
      <c r="AP129" s="200">
        <v>39.590000000000003</v>
      </c>
      <c r="AQ129" s="148">
        <f>(AP129*'ADC''s, Trout'!W137)/100</f>
        <v>35.330196075946077</v>
      </c>
      <c r="AR129" s="232" t="s">
        <v>212</v>
      </c>
      <c r="AS129" s="59" t="s">
        <v>212</v>
      </c>
      <c r="AT129" s="59" t="s">
        <v>212</v>
      </c>
      <c r="AU129" s="85">
        <v>64.997002956633779</v>
      </c>
      <c r="AV129" s="59" t="s">
        <v>212</v>
      </c>
      <c r="AW129" s="59" t="s">
        <v>212</v>
      </c>
      <c r="AX129" s="59" t="s">
        <v>212</v>
      </c>
      <c r="AY129" s="59" t="s">
        <v>212</v>
      </c>
      <c r="AZ129" s="59" t="s">
        <v>212</v>
      </c>
      <c r="BA129" s="59" t="s">
        <v>212</v>
      </c>
      <c r="BB129" s="45">
        <v>1.7332534121769008</v>
      </c>
      <c r="BC129" s="59" t="s">
        <v>212</v>
      </c>
      <c r="BD129" s="23">
        <v>0.41164768539201396</v>
      </c>
      <c r="BE129" s="304">
        <v>4.766446883486477</v>
      </c>
    </row>
    <row r="130" spans="1:57">
      <c r="A130" s="43" t="s">
        <v>89</v>
      </c>
      <c r="B130" s="139">
        <v>96.06</v>
      </c>
      <c r="C130" s="68">
        <f>(B130*'ADC''s, Trout'!C138)/100</f>
        <v>79.499508263794368</v>
      </c>
      <c r="D130" s="139">
        <v>19.579999999999998</v>
      </c>
      <c r="E130" s="129">
        <f>(D130*'ADC''s, Trout'!D138)/100</f>
        <v>19.579999999999998</v>
      </c>
      <c r="F130" s="200">
        <v>42.55</v>
      </c>
      <c r="G130" s="148">
        <f>(F130*'ADC''s, Trout'!E138)/100</f>
        <v>42.55</v>
      </c>
      <c r="H130" s="61" t="s">
        <v>212</v>
      </c>
      <c r="I130" s="61" t="s">
        <v>212</v>
      </c>
      <c r="J130" s="322">
        <v>1.8322355793035079</v>
      </c>
      <c r="K130" s="51">
        <f>(J130*'ADC''s, Trout'!G138)/100</f>
        <v>1.8322355793035079</v>
      </c>
      <c r="L130" s="158">
        <v>3.206412263781139</v>
      </c>
      <c r="M130" s="148">
        <f>(L130*'ADC''s, Trout'!H138)/100</f>
        <v>3.2198811595843737</v>
      </c>
      <c r="N130" s="129">
        <v>4.8720809722388738</v>
      </c>
      <c r="O130" s="51">
        <f>(N130*'ADC''s, Trout'!I138)/100</f>
        <v>4.8720809722388738</v>
      </c>
      <c r="P130" s="158">
        <v>7.6412552000498568</v>
      </c>
      <c r="Q130" s="148">
        <f>(P130*'ADC''s, Trout'!J138)/100</f>
        <v>7.3701730505963416</v>
      </c>
      <c r="R130" s="129">
        <v>1.6656687084577344</v>
      </c>
      <c r="S130" s="148">
        <f>(R130*'ADC''s, Trout'!K138)/100</f>
        <v>1.6656687084577344</v>
      </c>
      <c r="T130" s="129">
        <v>1.0306325133582233</v>
      </c>
      <c r="U130" s="51">
        <f>(T130*'ADC''s, Trout'!L138)/100</f>
        <v>1.0306325133582233</v>
      </c>
      <c r="V130" s="158">
        <v>1.696899996741317</v>
      </c>
      <c r="W130" s="148">
        <f>(V130*'ADC''s, Trout'!M138)/100</f>
        <v>1.6968999967413168</v>
      </c>
      <c r="X130" s="129">
        <v>3.2168226932089996</v>
      </c>
      <c r="Y130" s="51">
        <f>(X130*'ADC''s, Trout'!N138)/100</f>
        <v>3.2168226932089992</v>
      </c>
      <c r="Z130" s="158">
        <v>2.2382423269900809</v>
      </c>
      <c r="AA130" s="148">
        <f>(Z130*'ADC''s, Trout'!O138)/100</f>
        <v>2.2382423269900809</v>
      </c>
      <c r="AB130" s="129">
        <v>0.48929018310945949</v>
      </c>
      <c r="AC130" s="51">
        <f>(AB130*'ADC''s, Trout'!P138)/100</f>
        <v>0.48929018310945949</v>
      </c>
      <c r="AD130" s="158">
        <v>1.9675711618656988</v>
      </c>
      <c r="AE130" s="148">
        <f>(AD130*'ADC''s, Trout'!Q138)/100</f>
        <v>1.9675711618656988</v>
      </c>
      <c r="AF130" s="129">
        <v>2.4568613449751582</v>
      </c>
      <c r="AG130" s="38">
        <f>(AF130*'ADC''s, Trout'!R138)/100</f>
        <v>2.4183803881431674</v>
      </c>
      <c r="AH130" s="158">
        <v>2.3631674801244107</v>
      </c>
      <c r="AI130" s="148">
        <f>(AH130*'ADC''s, Trout'!S138)/100</f>
        <v>2.2394850008465839</v>
      </c>
      <c r="AJ130" s="129">
        <v>1.7905938615920647</v>
      </c>
      <c r="AK130" s="51">
        <f>(AJ130*'ADC''s, Trout'!T138)/100</f>
        <v>1.6666838580447529</v>
      </c>
      <c r="AL130" s="158">
        <v>1.6</v>
      </c>
      <c r="AM130" s="148">
        <f>(AL130*'ADC''s, Trout'!U138)/100</f>
        <v>1.6</v>
      </c>
      <c r="AN130" s="129">
        <v>2.08</v>
      </c>
      <c r="AO130" s="39">
        <f>(AN130*'ADC''s, Trout'!V138)/100</f>
        <v>2.08</v>
      </c>
      <c r="AP130" s="200">
        <v>40.18</v>
      </c>
      <c r="AQ130" s="148">
        <f>(AP130*'ADC''s, Trout'!W138)/100</f>
        <v>40.269012350247699</v>
      </c>
      <c r="AR130" s="232" t="s">
        <v>212</v>
      </c>
      <c r="AS130" s="59" t="s">
        <v>212</v>
      </c>
      <c r="AT130" s="59" t="s">
        <v>212</v>
      </c>
      <c r="AU130" s="85">
        <v>60.75982463464107</v>
      </c>
      <c r="AV130" s="59" t="s">
        <v>212</v>
      </c>
      <c r="AW130" s="59" t="s">
        <v>212</v>
      </c>
      <c r="AX130" s="59" t="s">
        <v>212</v>
      </c>
      <c r="AY130" s="59" t="s">
        <v>212</v>
      </c>
      <c r="AZ130" s="59" t="s">
        <v>212</v>
      </c>
      <c r="BA130" s="59" t="s">
        <v>212</v>
      </c>
      <c r="BB130" s="15">
        <v>1.780891411704997</v>
      </c>
      <c r="BC130" s="59" t="s">
        <v>212</v>
      </c>
      <c r="BD130" s="15">
        <v>0.32475078684032299</v>
      </c>
      <c r="BE130" s="304">
        <v>3.4570245050744064</v>
      </c>
    </row>
    <row r="131" spans="1:57">
      <c r="A131" s="43" t="s">
        <v>88</v>
      </c>
      <c r="B131" s="139">
        <v>90.36</v>
      </c>
      <c r="C131" s="68">
        <f>(B131*'ADC''s, Trout'!C139)/100</f>
        <v>65.060845248039428</v>
      </c>
      <c r="D131" s="129">
        <v>16.37</v>
      </c>
      <c r="E131" s="129">
        <f>(D131*'ADC''s, Trout'!D139)/100</f>
        <v>16.37</v>
      </c>
      <c r="F131" s="158">
        <v>45.09</v>
      </c>
      <c r="G131" s="148">
        <f>(F131*'ADC''s, Trout'!E139)/100</f>
        <v>39.58349401741475</v>
      </c>
      <c r="H131" s="61" t="s">
        <v>212</v>
      </c>
      <c r="I131" s="61" t="s">
        <v>212</v>
      </c>
      <c r="J131" s="322">
        <v>1.8593079956465564</v>
      </c>
      <c r="K131" s="51">
        <f>(J131*'ADC''s, Trout'!G139)/100</f>
        <v>1.5863666877372804</v>
      </c>
      <c r="L131" s="158">
        <v>3.1320485879046158</v>
      </c>
      <c r="M131" s="148">
        <f>(L131*'ADC''s, Trout'!H139)/100</f>
        <v>2.9556055094129783</v>
      </c>
      <c r="N131" s="129">
        <v>5.1573662260196151</v>
      </c>
      <c r="O131" s="51">
        <f>(N131*'ADC''s, Trout'!I139)/100</f>
        <v>4.5575054736496945</v>
      </c>
      <c r="P131" s="158">
        <v>7.5147031490714991</v>
      </c>
      <c r="Q131" s="148">
        <f>(P131*'ADC''s, Trout'!J139)/100</f>
        <v>6.4481263553261785</v>
      </c>
      <c r="R131" s="129">
        <v>1.6600964246844254</v>
      </c>
      <c r="S131" s="148">
        <f>(R131*'ADC''s, Trout'!K139)/100</f>
        <v>1.406785000512516</v>
      </c>
      <c r="T131" s="129">
        <v>1.0624617117980322</v>
      </c>
      <c r="U131" s="51">
        <f>(T131*'ADC''s, Trout'!L139)/100</f>
        <v>0.9588208684988041</v>
      </c>
      <c r="V131" s="158">
        <v>1.7818368291612832</v>
      </c>
      <c r="W131" s="148">
        <f>(V131*'ADC''s, Trout'!M139)/100</f>
        <v>1.566796449309432</v>
      </c>
      <c r="X131" s="129">
        <v>3.4087313253520199</v>
      </c>
      <c r="Y131" s="51">
        <f>(X131*'ADC''s, Trout'!N139)/100</f>
        <v>2.9078122898402312</v>
      </c>
      <c r="Z131" s="158">
        <v>2.3794715420476762</v>
      </c>
      <c r="AA131" s="148">
        <f>(Z131*'ADC''s, Trout'!O139)/100</f>
        <v>2.1962101819956805</v>
      </c>
      <c r="AB131" s="129">
        <v>0.45375968941374295</v>
      </c>
      <c r="AC131" s="51">
        <f>(AB131*'ADC''s, Trout'!P139)/100</f>
        <v>0.38853174133061263</v>
      </c>
      <c r="AD131" s="158">
        <v>2.0253176381149989</v>
      </c>
      <c r="AE131" s="148">
        <f>(AD131*'ADC''s, Trout'!Q139)/100</f>
        <v>1.8839125198969415</v>
      </c>
      <c r="AF131" s="129">
        <v>2.5012119465245339</v>
      </c>
      <c r="AG131" s="38">
        <f>(AF131*'ADC''s, Trout'!R139)/100</f>
        <v>2.2055755495390859</v>
      </c>
      <c r="AH131" s="158">
        <v>2.3241349945581957</v>
      </c>
      <c r="AI131" s="148">
        <f>(AH131*'ADC''s, Trout'!S139)/100</f>
        <v>2.0306752076401318</v>
      </c>
      <c r="AJ131" s="129">
        <v>1.8039714481570757</v>
      </c>
      <c r="AK131" s="51">
        <f>(AJ131*'ADC''s, Trout'!T139)/100</f>
        <v>1.4688265688939917</v>
      </c>
      <c r="AL131" s="158">
        <v>1.67</v>
      </c>
      <c r="AM131" s="148">
        <f>(AL131*'ADC''s, Trout'!U139)/100</f>
        <v>1.512966522093169</v>
      </c>
      <c r="AN131" s="129">
        <v>2.12</v>
      </c>
      <c r="AO131" s="39">
        <f>(AN131*'ADC''s, Trout'!V139)/100</f>
        <v>1.8286537331335229</v>
      </c>
      <c r="AP131" s="158">
        <v>40.840000000000003</v>
      </c>
      <c r="AQ131" s="148">
        <f>(AP131*'ADC''s, Trout'!W139)/100</f>
        <v>35.881886044602375</v>
      </c>
      <c r="AR131" s="232" t="s">
        <v>212</v>
      </c>
      <c r="AS131" s="59" t="s">
        <v>212</v>
      </c>
      <c r="AT131" s="59" t="s">
        <v>212</v>
      </c>
      <c r="AU131" s="85">
        <v>58.980209237298119</v>
      </c>
      <c r="AV131" s="59" t="s">
        <v>212</v>
      </c>
      <c r="AW131" s="59" t="s">
        <v>212</v>
      </c>
      <c r="AX131" s="59" t="s">
        <v>212</v>
      </c>
      <c r="AY131" s="59" t="s">
        <v>212</v>
      </c>
      <c r="AZ131" s="59" t="s">
        <v>212</v>
      </c>
      <c r="BA131" s="59" t="s">
        <v>212</v>
      </c>
      <c r="BB131" s="45">
        <v>1.8957924397702968</v>
      </c>
      <c r="BC131" s="59" t="s">
        <v>212</v>
      </c>
      <c r="BD131" s="23">
        <v>0.35809412751216718</v>
      </c>
      <c r="BE131" s="304">
        <v>4.0022284839595157</v>
      </c>
    </row>
    <row r="132" spans="1:57">
      <c r="A132" s="43" t="s">
        <v>87</v>
      </c>
      <c r="B132" s="139">
        <v>94.95</v>
      </c>
      <c r="C132" s="68">
        <f>(B132*'ADC''s, Trout'!C140)/100</f>
        <v>72.587581813674262</v>
      </c>
      <c r="D132" s="129">
        <v>16.95</v>
      </c>
      <c r="E132" s="129">
        <f>(D132*'ADC''s, Trout'!D140)/100</f>
        <v>16.95</v>
      </c>
      <c r="F132" s="158">
        <v>44.14</v>
      </c>
      <c r="G132" s="148">
        <f>(F132*'ADC''s, Trout'!E140)/100</f>
        <v>42.505578631969527</v>
      </c>
      <c r="H132" s="61" t="s">
        <v>212</v>
      </c>
      <c r="I132" s="61" t="s">
        <v>212</v>
      </c>
      <c r="J132" s="322">
        <v>1.8747280793284047</v>
      </c>
      <c r="K132" s="51">
        <f>(J132*'ADC''s, Trout'!G140)/100</f>
        <v>1.7761236704804053</v>
      </c>
      <c r="L132" s="158">
        <v>3.2860402289351813</v>
      </c>
      <c r="M132" s="148">
        <f>(L132*'ADC''s, Trout'!H140)/100</f>
        <v>3.2257994531090453</v>
      </c>
      <c r="N132" s="129">
        <v>5.0870430467169632</v>
      </c>
      <c r="O132" s="51">
        <f>(N132*'ADC''s, Trout'!I140)/100</f>
        <v>4.7735996884114451</v>
      </c>
      <c r="P132" s="158">
        <v>7.9307317063724083</v>
      </c>
      <c r="Q132" s="148">
        <f>(P132*'ADC''s, Trout'!J140)/100</f>
        <v>7.3381929808038411</v>
      </c>
      <c r="R132" s="129">
        <v>1.7062131957932671</v>
      </c>
      <c r="S132" s="148">
        <f>(R132*'ADC''s, Trout'!K140)/100</f>
        <v>1.5680874979665402</v>
      </c>
      <c r="T132" s="129">
        <v>1.0637502023155554</v>
      </c>
      <c r="U132" s="51">
        <f>(T132*'ADC''s, Trout'!L140)/100</f>
        <v>1.0301602679207695</v>
      </c>
      <c r="V132" s="158">
        <v>1.7483419166770515</v>
      </c>
      <c r="W132" s="148">
        <f>(V132*'ADC''s, Trout'!M140)/100</f>
        <v>1.6707617829104868</v>
      </c>
      <c r="X132" s="129">
        <v>3.3176367695980193</v>
      </c>
      <c r="Y132" s="51">
        <f>(X132*'ADC''s, Trout'!N140)/100</f>
        <v>3.1395483203455923</v>
      </c>
      <c r="Z132" s="158">
        <v>2.3276118288290868</v>
      </c>
      <c r="AA132" s="148">
        <f>(Z132*'ADC''s, Trout'!O140)/100</f>
        <v>2.2616967467463822</v>
      </c>
      <c r="AB132" s="129">
        <v>0.51607683082635858</v>
      </c>
      <c r="AC132" s="51">
        <f>(AB132*'ADC''s, Trout'!P140)/100</f>
        <v>0.49282331652334349</v>
      </c>
      <c r="AD132" s="158">
        <v>2.0327107826425959</v>
      </c>
      <c r="AE132" s="148">
        <f>(AD132*'ADC''s, Trout'!Q140)/100</f>
        <v>1.8017939873905238</v>
      </c>
      <c r="AF132" s="129">
        <v>2.6330450552365234</v>
      </c>
      <c r="AG132" s="38">
        <f>(AF132*'ADC''s, Trout'!R140)/100</f>
        <v>2.5082128264853587</v>
      </c>
      <c r="AH132" s="158">
        <v>2.4645301717013859</v>
      </c>
      <c r="AI132" s="148">
        <f>(AH132*'ADC''s, Trout'!S140)/100</f>
        <v>2.2932191928879417</v>
      </c>
      <c r="AJ132" s="129">
        <v>1.8536637188865124</v>
      </c>
      <c r="AK132" s="51">
        <f>(AJ132*'ADC''s, Trout'!T140)/100</f>
        <v>1.6609621778689663</v>
      </c>
      <c r="AL132" s="158">
        <v>1.71</v>
      </c>
      <c r="AM132" s="148">
        <f>(AL132*'ADC''s, Trout'!U140)/100</f>
        <v>1.6436479999597791</v>
      </c>
      <c r="AN132" s="129">
        <v>2.14</v>
      </c>
      <c r="AO132" s="39">
        <f>(AN132*'ADC''s, Trout'!V140)/100</f>
        <v>2.0086896944501045</v>
      </c>
      <c r="AP132" s="158">
        <v>41.71</v>
      </c>
      <c r="AQ132" s="148">
        <f>(AP132*'ADC''s, Trout'!W140)/100</f>
        <v>39.251407606277859</v>
      </c>
      <c r="AR132" s="232" t="s">
        <v>212</v>
      </c>
      <c r="AS132" s="59" t="s">
        <v>212</v>
      </c>
      <c r="AT132" s="59" t="s">
        <v>212</v>
      </c>
      <c r="AU132" s="85">
        <v>21.027888046002722</v>
      </c>
      <c r="AV132" s="59" t="s">
        <v>212</v>
      </c>
      <c r="AW132" s="59" t="s">
        <v>212</v>
      </c>
      <c r="AX132" s="59" t="s">
        <v>212</v>
      </c>
      <c r="AY132" s="59" t="s">
        <v>212</v>
      </c>
      <c r="AZ132" s="59" t="s">
        <v>212</v>
      </c>
      <c r="BA132" s="59" t="s">
        <v>212</v>
      </c>
      <c r="BB132" s="45">
        <v>1.8814426146423489</v>
      </c>
      <c r="BC132" s="59" t="s">
        <v>212</v>
      </c>
      <c r="BD132" s="23">
        <v>0.35415390393267743</v>
      </c>
      <c r="BE132" s="304">
        <v>3.7628852292846973</v>
      </c>
    </row>
    <row r="133" spans="1:57">
      <c r="A133" s="43" t="s">
        <v>86</v>
      </c>
      <c r="B133" s="68">
        <v>95.46</v>
      </c>
      <c r="C133" s="68">
        <f>(B133*'ADC''s, Trout'!C141)/100</f>
        <v>62.151856350671977</v>
      </c>
      <c r="D133" s="129">
        <v>18.63</v>
      </c>
      <c r="E133" s="129">
        <f>(D133*'ADC''s, Trout'!D141)/100</f>
        <v>18.63</v>
      </c>
      <c r="F133" s="158">
        <v>40.9</v>
      </c>
      <c r="G133" s="148">
        <f>(F133*'ADC''s, Trout'!E141)/100</f>
        <v>37.174662234765741</v>
      </c>
      <c r="H133" s="61" t="s">
        <v>212</v>
      </c>
      <c r="I133" s="61" t="s">
        <v>212</v>
      </c>
      <c r="J133" s="322">
        <v>1.6447055978687326</v>
      </c>
      <c r="K133" s="51">
        <f>(J133*'ADC''s, Trout'!G141)/100</f>
        <v>1.4640081968243026</v>
      </c>
      <c r="L133" s="158">
        <v>2.6189579583897014</v>
      </c>
      <c r="M133" s="148">
        <f>(L133*'ADC''s, Trout'!H141)/100</f>
        <v>2.5395230006167733</v>
      </c>
      <c r="N133" s="129">
        <v>4.5674626794316397</v>
      </c>
      <c r="O133" s="51">
        <f>(N133*'ADC''s, Trout'!I141)/100</f>
        <v>4.0215029082729252</v>
      </c>
      <c r="P133" s="158">
        <v>6.2959749319688427</v>
      </c>
      <c r="Q133" s="148">
        <f>(P133*'ADC''s, Trout'!J141)/100</f>
        <v>5.596303463281548</v>
      </c>
      <c r="R133" s="129">
        <v>1.5189956158660269</v>
      </c>
      <c r="S133" s="148">
        <f>(R133*'ADC''s, Trout'!K141)/100</f>
        <v>1.2478779379107825</v>
      </c>
      <c r="T133" s="129">
        <v>0.92187320135317496</v>
      </c>
      <c r="U133" s="51">
        <f>(T133*'ADC''s, Trout'!L141)/100</f>
        <v>0.83750354795962312</v>
      </c>
      <c r="V133" s="158">
        <v>1.5923264387009386</v>
      </c>
      <c r="W133" s="148">
        <f>(V133*'ADC''s, Trout'!M141)/100</f>
        <v>1.4502379047598444</v>
      </c>
      <c r="X133" s="129">
        <v>2.9960879043978186</v>
      </c>
      <c r="Y133" s="51">
        <f>(X133*'ADC''s, Trout'!N141)/100</f>
        <v>2.7113416856163202</v>
      </c>
      <c r="Z133" s="158">
        <v>2.0742147030446434</v>
      </c>
      <c r="AA133" s="148">
        <f>(Z133*'ADC''s, Trout'!O141)/100</f>
        <v>1.9559965704967899</v>
      </c>
      <c r="AB133" s="129">
        <v>0.39808160967523465</v>
      </c>
      <c r="AC133" s="51">
        <f>(AB133*'ADC''s, Trout'!P141)/100</f>
        <v>0.34816036538251788</v>
      </c>
      <c r="AD133" s="158">
        <v>1.7913672435385559</v>
      </c>
      <c r="AE133" s="148">
        <f>(AD133*'ADC''s, Trout'!Q141)/100</f>
        <v>1.3255515975358725</v>
      </c>
      <c r="AF133" s="129">
        <v>2.158021357713114</v>
      </c>
      <c r="AG133" s="38">
        <f>(AF133*'ADC''s, Trout'!R141)/100</f>
        <v>1.97190814668818</v>
      </c>
      <c r="AH133" s="158">
        <v>2.1370696940459966</v>
      </c>
      <c r="AI133" s="148">
        <f>(AH133*'ADC''s, Trout'!S141)/100</f>
        <v>1.8970819731806083</v>
      </c>
      <c r="AJ133" s="129">
        <v>1.676133093369409</v>
      </c>
      <c r="AK133" s="51">
        <f>(AJ133*'ADC''s, Trout'!T141)/100</f>
        <v>1.3678678975456773</v>
      </c>
      <c r="AL133" s="158">
        <v>1.47</v>
      </c>
      <c r="AM133" s="148">
        <f>(AL133*'ADC''s, Trout'!U141)/100</f>
        <v>1.3898142838465573</v>
      </c>
      <c r="AN133" s="129">
        <v>1.92</v>
      </c>
      <c r="AO133" s="39">
        <f>(AN133*'ADC''s, Trout'!V141)/100</f>
        <v>1.6952060614377811</v>
      </c>
      <c r="AP133" s="158">
        <v>35.83</v>
      </c>
      <c r="AQ133" s="148">
        <f>(AP133*'ADC''s, Trout'!W141)/100</f>
        <v>31.901875285517626</v>
      </c>
      <c r="AR133" s="232" t="s">
        <v>212</v>
      </c>
      <c r="AS133" s="59" t="s">
        <v>212</v>
      </c>
      <c r="AT133" s="59" t="s">
        <v>212</v>
      </c>
      <c r="AU133" s="85">
        <v>54.134233024876373</v>
      </c>
      <c r="AV133" s="59" t="s">
        <v>212</v>
      </c>
      <c r="AW133" s="59" t="s">
        <v>212</v>
      </c>
      <c r="AX133" s="59" t="s">
        <v>212</v>
      </c>
      <c r="AY133" s="59" t="s">
        <v>212</v>
      </c>
      <c r="AZ133" s="59" t="s">
        <v>212</v>
      </c>
      <c r="BA133" s="59" t="s">
        <v>212</v>
      </c>
      <c r="BB133" s="45">
        <v>1.8738772970149513</v>
      </c>
      <c r="BC133" s="59" t="s">
        <v>212</v>
      </c>
      <c r="BD133" s="23">
        <v>0.35395460054726857</v>
      </c>
      <c r="BE133" s="304">
        <v>3.9559631825871198</v>
      </c>
    </row>
    <row r="134" spans="1:57">
      <c r="A134" s="43" t="s">
        <v>158</v>
      </c>
      <c r="B134" s="68">
        <v>95.58</v>
      </c>
      <c r="C134" s="68">
        <f>(B134*'ADC''s, Trout'!C142)/100</f>
        <v>73.106570959470105</v>
      </c>
      <c r="D134" s="68">
        <v>12.8</v>
      </c>
      <c r="E134" s="129">
        <f>(D134*'ADC''s, Trout'!D142)/100</f>
        <v>12.8</v>
      </c>
      <c r="F134" s="158">
        <v>44.42</v>
      </c>
      <c r="G134" s="148">
        <f>(F134*'ADC''s, Trout'!E142)/100</f>
        <v>43.284819765107258</v>
      </c>
      <c r="H134" s="61" t="s">
        <v>212</v>
      </c>
      <c r="I134" s="61" t="s">
        <v>212</v>
      </c>
      <c r="J134" s="322">
        <v>1.78</v>
      </c>
      <c r="K134" s="51">
        <f>(J134*'ADC''s, Trout'!G142)/100</f>
        <v>1.6012696183486739</v>
      </c>
      <c r="L134" s="158">
        <v>3.16</v>
      </c>
      <c r="M134" s="148">
        <f>(L134*'ADC''s, Trout'!H142)/100</f>
        <v>3.1617142939799066</v>
      </c>
      <c r="N134" s="129">
        <v>4.9400000000000004</v>
      </c>
      <c r="O134" s="51">
        <f>(N134*'ADC''s, Trout'!I142)/100</f>
        <v>4.5969570467385186</v>
      </c>
      <c r="P134" s="158">
        <v>7.41</v>
      </c>
      <c r="Q134" s="148">
        <f>(P134*'ADC''s, Trout'!J142)/100</f>
        <v>7.0430234536308038</v>
      </c>
      <c r="R134" s="129">
        <v>1.69</v>
      </c>
      <c r="S134" s="148">
        <f>(R134*'ADC''s, Trout'!K142)/100</f>
        <v>1.4775818280120949</v>
      </c>
      <c r="T134" s="129">
        <v>1.03</v>
      </c>
      <c r="U134" s="51">
        <f>(T134*'ADC''s, Trout'!L142)/100</f>
        <v>0.96759478594427417</v>
      </c>
      <c r="V134" s="158">
        <v>1.747248589595046</v>
      </c>
      <c r="W134" s="148">
        <f>(V134*'ADC''s, Trout'!M142)/100</f>
        <v>1.6149611826286701</v>
      </c>
      <c r="X134" s="129">
        <v>3.2224704526663124</v>
      </c>
      <c r="Y134" s="51">
        <f>(X134*'ADC''s, Trout'!N142)/100</f>
        <v>2.9799238709009579</v>
      </c>
      <c r="Z134" s="158">
        <v>2.2599143434283229</v>
      </c>
      <c r="AA134" s="148">
        <f>(Z134*'ADC''s, Trout'!O142)/100</f>
        <v>2.137181063263295</v>
      </c>
      <c r="AB134" s="129">
        <v>0.47081548821423397</v>
      </c>
      <c r="AC134" s="51">
        <f>(AB134*'ADC''s, Trout'!P142)/100</f>
        <v>0.45910177982454875</v>
      </c>
      <c r="AD134" s="158">
        <v>1.998350183309304</v>
      </c>
      <c r="AE134" s="148">
        <f>(AD134*'ADC''s, Trout'!Q142)/100</f>
        <v>1.8739714842169288</v>
      </c>
      <c r="AF134" s="129">
        <v>2.4691656715235379</v>
      </c>
      <c r="AG134" s="38">
        <f>(AF134*'ADC''s, Trout'!R142)/100</f>
        <v>2.4170010813574687</v>
      </c>
      <c r="AH134" s="158">
        <v>2.3122271754521266</v>
      </c>
      <c r="AI134" s="148">
        <f>(AH134*'ADC''s, Trout'!S142)/100</f>
        <v>2.2163889844182383</v>
      </c>
      <c r="AJ134" s="129">
        <v>1.7577111559998067</v>
      </c>
      <c r="AK134" s="51">
        <f>(AJ134*'ADC''s, Trout'!T142)/100</f>
        <v>1.5902165261982999</v>
      </c>
      <c r="AL134" s="158">
        <v>1.66</v>
      </c>
      <c r="AM134" s="148">
        <f>(AL134*'ADC''s, Trout'!U142)/100</f>
        <v>1.6015586575571308</v>
      </c>
      <c r="AN134" s="129">
        <v>2.1</v>
      </c>
      <c r="AO134" s="39">
        <f>(AN134*'ADC''s, Trout'!V142)/100</f>
        <v>1.8424806352296577</v>
      </c>
      <c r="AP134" s="158">
        <v>39.97</v>
      </c>
      <c r="AQ134" s="148">
        <f>(AP134*'ADC''s, Trout'!W142)/100</f>
        <v>37.622649119652849</v>
      </c>
      <c r="AR134" s="232" t="s">
        <v>212</v>
      </c>
      <c r="AS134" s="59" t="s">
        <v>212</v>
      </c>
      <c r="AT134" s="59" t="s">
        <v>212</v>
      </c>
      <c r="AU134" s="85">
        <v>36.975244111717451</v>
      </c>
      <c r="AV134" s="59" t="s">
        <v>212</v>
      </c>
      <c r="AW134" s="59" t="s">
        <v>212</v>
      </c>
      <c r="AX134" s="59" t="s">
        <v>212</v>
      </c>
      <c r="AY134" s="59" t="s">
        <v>212</v>
      </c>
      <c r="AZ134" s="59" t="s">
        <v>212</v>
      </c>
      <c r="BA134" s="59" t="s">
        <v>212</v>
      </c>
      <c r="BB134" s="45">
        <v>1.8487622055858728</v>
      </c>
      <c r="BC134" s="59" t="s">
        <v>212</v>
      </c>
      <c r="BD134" s="23">
        <v>0.35887736931961056</v>
      </c>
      <c r="BE134" s="304">
        <v>3.8062751291473851</v>
      </c>
    </row>
    <row r="135" spans="1:57">
      <c r="A135" s="43" t="s">
        <v>195</v>
      </c>
      <c r="B135" s="129">
        <v>93.152766531713866</v>
      </c>
      <c r="C135" s="68">
        <f>(B135*'ADC''s, Trout'!C143)/100</f>
        <v>71.727630229419674</v>
      </c>
      <c r="D135" s="158">
        <v>6.9540185275186763</v>
      </c>
      <c r="E135" s="129">
        <f>(D135*'ADC''s, Trout'!D143)/100</f>
        <v>6.9540185275186763</v>
      </c>
      <c r="F135" s="158">
        <v>68.439191205658162</v>
      </c>
      <c r="G135" s="148">
        <f>(F135*'ADC''s, Trout'!E143)/100</f>
        <v>61.595272085092347</v>
      </c>
      <c r="H135" s="61" t="s">
        <v>212</v>
      </c>
      <c r="I135" s="61" t="s">
        <v>212</v>
      </c>
      <c r="J135" s="322">
        <v>4.5946032086367223</v>
      </c>
      <c r="K135" s="51">
        <f>(J135*'ADC''s, Trout'!G143)/100</f>
        <v>4.227034951945785</v>
      </c>
      <c r="L135" s="158">
        <v>4.1759360938310399</v>
      </c>
      <c r="M135" s="148">
        <f>(L135*'ADC''s, Trout'!H143)/100</f>
        <v>3.9671392891394879</v>
      </c>
      <c r="N135" s="129">
        <v>6.3229469389883866</v>
      </c>
      <c r="O135" s="51">
        <f>(N135*'ADC''s, Trout'!I143)/100</f>
        <v>5.753881714479431</v>
      </c>
      <c r="P135" s="158">
        <v>9.3717023391118186</v>
      </c>
      <c r="Q135" s="148">
        <f>(P135*'ADC''s, Trout'!J143)/100</f>
        <v>8.9031172221562276</v>
      </c>
      <c r="R135" s="158">
        <v>4.7770991304750972</v>
      </c>
      <c r="S135" s="148">
        <f>(R135*'ADC''s, Trout'!K143)/100</f>
        <v>4.0605342609038324</v>
      </c>
      <c r="T135" s="129">
        <v>1.4277622120296356</v>
      </c>
      <c r="U135" s="51">
        <f>(T135*'ADC''s, Trout'!L143)/100</f>
        <v>1.3420964793078574</v>
      </c>
      <c r="V135" s="158">
        <v>2.7267037733498305</v>
      </c>
      <c r="W135" s="148">
        <f>(V135*'ADC''s, Trout'!M143)/100</f>
        <v>2.672169697882834</v>
      </c>
      <c r="X135" s="129">
        <v>4.8307744016040308</v>
      </c>
      <c r="Y135" s="51">
        <f>(X135*'ADC''s, Trout'!N143)/100</f>
        <v>4.6858511695559102</v>
      </c>
      <c r="Z135" s="158">
        <v>4.4550475037014952</v>
      </c>
      <c r="AA135" s="148">
        <f>(Z135*'ADC''s, Trout'!O143)/100</f>
        <v>4.2768456035534355</v>
      </c>
      <c r="AB135" s="129">
        <v>2.2650964416410009</v>
      </c>
      <c r="AC135" s="51">
        <f>(AB135*'ADC''s, Trout'!P143)/100</f>
        <v>2.1971435483917707</v>
      </c>
      <c r="AD135" s="158">
        <v>2.3831820381246551</v>
      </c>
      <c r="AE135" s="148">
        <f>(AD135*'ADC''s, Trout'!Q143)/100</f>
        <v>2.2163592954559292</v>
      </c>
      <c r="AF135" s="129">
        <v>4.0793206057989586</v>
      </c>
      <c r="AG135" s="38">
        <f>(AF135*'ADC''s, Trout'!R143)/100</f>
        <v>3.7121817512770523</v>
      </c>
      <c r="AH135" s="158">
        <v>2.9414048578655652</v>
      </c>
      <c r="AI135" s="148">
        <f>(AH135*'ADC''s, Trout'!S143)/100</f>
        <v>2.7649205663936312</v>
      </c>
      <c r="AJ135" s="129">
        <v>3.0380203458976456</v>
      </c>
      <c r="AK135" s="51">
        <f>(AJ135*'ADC''s, Trout'!T143)/100</f>
        <v>2.9164995320617395</v>
      </c>
      <c r="AL135" s="158">
        <v>2.23</v>
      </c>
      <c r="AM135" s="148">
        <f>(AL135*'ADC''s, Trout'!U143)/100</f>
        <v>2.1408</v>
      </c>
      <c r="AN135" s="158">
        <v>3.96</v>
      </c>
      <c r="AO135" s="39">
        <f>(AN135*'ADC''s, Trout'!V143)/100</f>
        <v>3.762</v>
      </c>
      <c r="AP135" s="147">
        <f>(J135+L135+N135+P135+R135+T135+V135+X135+Z135+AB135+AD135+AF135+AH135+AJ135+AL135+AN135)</f>
        <v>63.579599891055871</v>
      </c>
      <c r="AQ135" s="148">
        <f>(AP135*'ADC''s, Trout'!W143)/100</f>
        <v>59.764823897592514</v>
      </c>
      <c r="AR135" s="232" t="s">
        <v>212</v>
      </c>
      <c r="AS135" s="59" t="s">
        <v>212</v>
      </c>
      <c r="AT135" s="59" t="s">
        <v>212</v>
      </c>
      <c r="AU135" s="59" t="s">
        <v>212</v>
      </c>
      <c r="AV135" s="59" t="s">
        <v>212</v>
      </c>
      <c r="AW135" s="59" t="s">
        <v>212</v>
      </c>
      <c r="AX135" s="59" t="s">
        <v>212</v>
      </c>
      <c r="AY135" s="59" t="s">
        <v>212</v>
      </c>
      <c r="AZ135" s="59" t="s">
        <v>212</v>
      </c>
      <c r="BA135" s="59" t="s">
        <v>212</v>
      </c>
      <c r="BB135" s="59" t="s">
        <v>212</v>
      </c>
      <c r="BC135" s="59" t="s">
        <v>212</v>
      </c>
      <c r="BD135" s="59" t="s">
        <v>212</v>
      </c>
      <c r="BE135" s="233" t="s">
        <v>212</v>
      </c>
    </row>
    <row r="136" spans="1:57">
      <c r="A136" s="43"/>
      <c r="B136" s="43"/>
      <c r="C136" s="43"/>
      <c r="D136" s="43"/>
      <c r="E136" s="43"/>
      <c r="F136" s="43"/>
      <c r="G136" s="43"/>
      <c r="H136" s="135"/>
      <c r="I136" s="135"/>
      <c r="J136" s="43"/>
      <c r="K136" s="43"/>
      <c r="L136" s="43"/>
      <c r="M136" s="43"/>
      <c r="N136" s="43"/>
      <c r="O136" s="43"/>
      <c r="P136" s="89"/>
      <c r="Q136" s="89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128"/>
      <c r="AS136" s="128"/>
      <c r="AT136" s="128"/>
      <c r="AU136" s="26"/>
      <c r="AV136" s="128"/>
      <c r="AW136" s="128"/>
      <c r="AX136" s="128"/>
      <c r="AY136" s="128"/>
      <c r="AZ136" s="26"/>
      <c r="BA136" s="26"/>
      <c r="BB136" s="128"/>
      <c r="BC136" s="128"/>
      <c r="BD136" s="128"/>
      <c r="BE136" s="128"/>
    </row>
    <row r="137" spans="1:57">
      <c r="A137" s="43"/>
      <c r="H137" s="135"/>
      <c r="I137" s="135"/>
      <c r="P137" s="21"/>
      <c r="Q137" s="21"/>
    </row>
    <row r="138" spans="1:57" ht="18.75">
      <c r="A138" s="7"/>
      <c r="B138" s="91"/>
      <c r="C138" s="91"/>
      <c r="D138" s="105" t="s">
        <v>214</v>
      </c>
      <c r="E138" s="105"/>
      <c r="F138" s="143"/>
      <c r="G138" s="143"/>
      <c r="H138" s="91"/>
      <c r="I138" s="91"/>
      <c r="J138" s="154"/>
      <c r="K138" s="90"/>
      <c r="L138" s="154"/>
      <c r="M138" s="155"/>
      <c r="N138" s="90"/>
      <c r="O138" s="90"/>
      <c r="P138" s="154"/>
      <c r="Q138" s="155"/>
      <c r="R138" s="154"/>
      <c r="S138" s="155"/>
      <c r="T138" s="90"/>
      <c r="U138" s="90"/>
      <c r="V138" s="154"/>
      <c r="W138" s="155"/>
      <c r="X138" s="106" t="s">
        <v>218</v>
      </c>
      <c r="Y138" s="90"/>
      <c r="Z138" s="154"/>
      <c r="AA138" s="155"/>
      <c r="AB138" s="90"/>
      <c r="AC138" s="90"/>
      <c r="AD138" s="154"/>
      <c r="AE138" s="155"/>
      <c r="AF138" s="90"/>
      <c r="AG138" s="90"/>
      <c r="AH138" s="154"/>
      <c r="AI138" s="155"/>
      <c r="AJ138" s="90"/>
      <c r="AK138" s="90"/>
      <c r="AL138" s="154"/>
      <c r="AM138" s="155"/>
      <c r="AN138" s="154"/>
      <c r="AO138" s="260"/>
      <c r="AP138" s="144"/>
      <c r="AQ138" s="145"/>
      <c r="AR138" s="256"/>
      <c r="AS138" s="247"/>
      <c r="AT138" s="247"/>
      <c r="AU138" s="247"/>
      <c r="AV138" s="298"/>
      <c r="AW138" s="299" t="s">
        <v>239</v>
      </c>
      <c r="AX138" s="247"/>
      <c r="AY138" s="247"/>
      <c r="AZ138" s="165"/>
      <c r="BA138" s="166"/>
      <c r="BB138" s="247"/>
      <c r="BC138" s="247"/>
      <c r="BD138" s="247"/>
      <c r="BE138" s="300"/>
    </row>
    <row r="139" spans="1:57">
      <c r="B139" s="455" t="s">
        <v>240</v>
      </c>
      <c r="C139" s="455"/>
      <c r="D139" s="452" t="s">
        <v>1</v>
      </c>
      <c r="E139" s="453"/>
      <c r="F139" s="452" t="s">
        <v>236</v>
      </c>
      <c r="G139" s="453"/>
      <c r="H139" s="455" t="s">
        <v>235</v>
      </c>
      <c r="I139" s="455"/>
      <c r="J139" s="449" t="s">
        <v>221</v>
      </c>
      <c r="K139" s="449"/>
      <c r="L139" s="446" t="s">
        <v>222</v>
      </c>
      <c r="M139" s="451"/>
      <c r="N139" s="449" t="s">
        <v>237</v>
      </c>
      <c r="O139" s="450"/>
      <c r="P139" s="446" t="s">
        <v>223</v>
      </c>
      <c r="Q139" s="451"/>
      <c r="R139" s="446" t="s">
        <v>224</v>
      </c>
      <c r="S139" s="451"/>
      <c r="T139" s="449" t="s">
        <v>225</v>
      </c>
      <c r="U139" s="450"/>
      <c r="V139" s="446" t="s">
        <v>226</v>
      </c>
      <c r="W139" s="451"/>
      <c r="X139" s="449" t="s">
        <v>227</v>
      </c>
      <c r="Y139" s="450"/>
      <c r="Z139" s="446" t="s">
        <v>219</v>
      </c>
      <c r="AA139" s="451"/>
      <c r="AB139" s="449" t="s">
        <v>228</v>
      </c>
      <c r="AC139" s="450"/>
      <c r="AD139" s="446" t="s">
        <v>229</v>
      </c>
      <c r="AE139" s="448"/>
      <c r="AF139" s="449" t="s">
        <v>230</v>
      </c>
      <c r="AG139" s="449"/>
      <c r="AH139" s="446" t="s">
        <v>231</v>
      </c>
      <c r="AI139" s="448"/>
      <c r="AJ139" s="449" t="s">
        <v>232</v>
      </c>
      <c r="AK139" s="449"/>
      <c r="AL139" s="446" t="s">
        <v>233</v>
      </c>
      <c r="AM139" s="451"/>
      <c r="AN139" s="446" t="s">
        <v>234</v>
      </c>
      <c r="AO139" s="454"/>
      <c r="AP139" s="446" t="s">
        <v>220</v>
      </c>
      <c r="AQ139" s="451"/>
      <c r="AR139" s="219" t="s">
        <v>4</v>
      </c>
      <c r="AS139" s="121" t="s">
        <v>5</v>
      </c>
      <c r="AT139" s="121" t="s">
        <v>6</v>
      </c>
      <c r="AU139" s="122" t="s">
        <v>7</v>
      </c>
      <c r="AV139" s="121" t="s">
        <v>8</v>
      </c>
      <c r="AW139" s="121" t="s">
        <v>9</v>
      </c>
      <c r="AX139" s="121" t="s">
        <v>10</v>
      </c>
      <c r="AY139" s="121" t="s">
        <v>11</v>
      </c>
      <c r="AZ139" s="457" t="s">
        <v>238</v>
      </c>
      <c r="BA139" s="458"/>
      <c r="BB139" s="121" t="s">
        <v>13</v>
      </c>
      <c r="BC139" s="121" t="s">
        <v>14</v>
      </c>
      <c r="BD139" s="121" t="s">
        <v>15</v>
      </c>
      <c r="BE139" s="220" t="s">
        <v>16</v>
      </c>
    </row>
    <row r="140" spans="1:57" ht="13.5" thickBot="1">
      <c r="A140" s="35" t="s">
        <v>267</v>
      </c>
      <c r="B140" s="149" t="s">
        <v>217</v>
      </c>
      <c r="C140" s="100" t="s">
        <v>215</v>
      </c>
      <c r="D140" s="149" t="s">
        <v>217</v>
      </c>
      <c r="E140" s="150" t="s">
        <v>215</v>
      </c>
      <c r="F140" s="149" t="s">
        <v>101</v>
      </c>
      <c r="G140" s="150" t="s">
        <v>215</v>
      </c>
      <c r="H140" s="100" t="s">
        <v>216</v>
      </c>
      <c r="I140" s="100" t="s">
        <v>215</v>
      </c>
      <c r="J140" s="146" t="s">
        <v>217</v>
      </c>
      <c r="K140" s="146" t="s">
        <v>215</v>
      </c>
      <c r="L140" s="151" t="s">
        <v>217</v>
      </c>
      <c r="M140" s="152" t="s">
        <v>215</v>
      </c>
      <c r="N140" s="146" t="s">
        <v>217</v>
      </c>
      <c r="O140" s="146" t="s">
        <v>215</v>
      </c>
      <c r="P140" s="151" t="s">
        <v>217</v>
      </c>
      <c r="Q140" s="152" t="s">
        <v>215</v>
      </c>
      <c r="R140" s="151" t="s">
        <v>217</v>
      </c>
      <c r="S140" s="152" t="s">
        <v>215</v>
      </c>
      <c r="T140" s="146" t="s">
        <v>217</v>
      </c>
      <c r="U140" s="146" t="s">
        <v>215</v>
      </c>
      <c r="V140" s="151" t="s">
        <v>217</v>
      </c>
      <c r="W140" s="152" t="s">
        <v>215</v>
      </c>
      <c r="X140" s="146" t="s">
        <v>217</v>
      </c>
      <c r="Y140" s="146" t="s">
        <v>215</v>
      </c>
      <c r="Z140" s="151" t="s">
        <v>217</v>
      </c>
      <c r="AA140" s="152" t="s">
        <v>215</v>
      </c>
      <c r="AB140" s="146" t="s">
        <v>217</v>
      </c>
      <c r="AC140" s="146" t="s">
        <v>215</v>
      </c>
      <c r="AD140" s="151" t="s">
        <v>217</v>
      </c>
      <c r="AE140" s="152" t="s">
        <v>215</v>
      </c>
      <c r="AF140" s="146" t="s">
        <v>217</v>
      </c>
      <c r="AG140" s="146" t="s">
        <v>215</v>
      </c>
      <c r="AH140" s="151" t="s">
        <v>217</v>
      </c>
      <c r="AI140" s="152" t="s">
        <v>215</v>
      </c>
      <c r="AJ140" s="146" t="s">
        <v>217</v>
      </c>
      <c r="AK140" s="146" t="s">
        <v>215</v>
      </c>
      <c r="AL140" s="151" t="s">
        <v>217</v>
      </c>
      <c r="AM140" s="152" t="s">
        <v>215</v>
      </c>
      <c r="AN140" s="151" t="s">
        <v>217</v>
      </c>
      <c r="AO140" s="146" t="s">
        <v>215</v>
      </c>
      <c r="AP140" s="151" t="s">
        <v>217</v>
      </c>
      <c r="AQ140" s="152" t="s">
        <v>215</v>
      </c>
      <c r="AR140" s="257" t="s">
        <v>93</v>
      </c>
      <c r="AS140" s="96" t="s">
        <v>91</v>
      </c>
      <c r="AT140" s="118" t="s">
        <v>91</v>
      </c>
      <c r="AU140" s="97" t="s">
        <v>91</v>
      </c>
      <c r="AV140" s="118" t="s">
        <v>93</v>
      </c>
      <c r="AW140" s="118" t="s">
        <v>91</v>
      </c>
      <c r="AX140" s="118" t="s">
        <v>91</v>
      </c>
      <c r="AY140" s="160" t="s">
        <v>91</v>
      </c>
      <c r="AZ140" s="161" t="s">
        <v>217</v>
      </c>
      <c r="BA140" s="162" t="s">
        <v>215</v>
      </c>
      <c r="BB140" s="159" t="s">
        <v>93</v>
      </c>
      <c r="BC140" s="118" t="s">
        <v>93</v>
      </c>
      <c r="BD140" s="118" t="s">
        <v>93</v>
      </c>
      <c r="BE140" s="301" t="s">
        <v>91</v>
      </c>
    </row>
    <row r="141" spans="1:57">
      <c r="A141" s="429" t="s">
        <v>274</v>
      </c>
      <c r="B141" s="432">
        <v>94.9</v>
      </c>
      <c r="C141" s="54">
        <f>B141*('ADC''s, Trout'!C151/100)</f>
        <v>51.484307552518651</v>
      </c>
      <c r="D141" s="54">
        <v>12.328767123287671</v>
      </c>
      <c r="E141" s="54">
        <f>D141*('ADC''s, Trout'!D151/100)</f>
        <v>11.701784525094663</v>
      </c>
      <c r="F141" s="54">
        <v>62.17070600632244</v>
      </c>
      <c r="G141" s="54">
        <f>F141*('ADC''s, Trout'!E151/100)</f>
        <v>40.364482327884048</v>
      </c>
      <c r="H141" s="61" t="s">
        <v>212</v>
      </c>
      <c r="I141" s="61" t="s">
        <v>212</v>
      </c>
      <c r="J141" s="54">
        <v>4.8682824025289779</v>
      </c>
      <c r="K141" s="54">
        <f>J141*('ADC''s, Trout'!G151/100)</f>
        <v>3.6523168936688974</v>
      </c>
      <c r="L141" s="54">
        <v>4.2571127502634347</v>
      </c>
      <c r="M141" s="54">
        <f>L141*('ADC''s, Trout'!H151/100)</f>
        <v>3.3539178298972665</v>
      </c>
      <c r="N141" s="54">
        <v>4.8682824025289779</v>
      </c>
      <c r="O141" s="54">
        <f>N141*('ADC''s, Trout'!I151/100)</f>
        <v>2.4519676202190768</v>
      </c>
      <c r="P141" s="54">
        <v>7.4077976817702842</v>
      </c>
      <c r="Q141" s="54">
        <f>P141*('ADC''s, Trout'!J151/100)</f>
        <v>5.077766353092434</v>
      </c>
      <c r="R141" s="54">
        <v>8.314014752370916</v>
      </c>
      <c r="S141" s="54">
        <f>R141*('ADC''s, Trout'!K151/100)</f>
        <v>5.7819276235984622</v>
      </c>
      <c r="T141" s="54">
        <v>1.1169652265542676</v>
      </c>
      <c r="U141" s="54">
        <f>T141*('ADC''s, Trout'!L166/100)</f>
        <v>0.97204215893672319</v>
      </c>
      <c r="V141" s="54">
        <v>2.0653319283456271</v>
      </c>
      <c r="W141" s="54">
        <f>V141*('ADC''s, Trout'!M166/100)</f>
        <v>1.9037517778400013</v>
      </c>
      <c r="X141" s="54">
        <v>3.5616438356164379</v>
      </c>
      <c r="Y141" s="54">
        <f>X141*('ADC''s, Trout'!N166/100)</f>
        <v>3.2603994567814834</v>
      </c>
      <c r="Z141" s="54">
        <v>3.8356164383561642</v>
      </c>
      <c r="AA141" s="54">
        <f>Z141*('ADC''s, Trout'!O166/100)</f>
        <v>3.5343020016563469</v>
      </c>
      <c r="AB141" s="54">
        <v>1.2434141201264488</v>
      </c>
      <c r="AC141" s="54">
        <f>AB141*('ADC''s, Trout'!P166/100)</f>
        <v>1.1331214452139082</v>
      </c>
      <c r="AD141" s="54">
        <v>2.0231822971548996</v>
      </c>
      <c r="AE141" s="54">
        <f>AD141*('ADC''s, Trout'!Q151/100)</f>
        <v>1.4812480866631852</v>
      </c>
      <c r="AF141" s="54">
        <v>4.6364594309799791</v>
      </c>
      <c r="AG141" s="54">
        <f>AF141*('ADC''s, Trout'!R151/100)</f>
        <v>3.3240137432710481</v>
      </c>
      <c r="AH141" s="54">
        <v>2.2655426765015805</v>
      </c>
      <c r="AI141" s="54">
        <f>AH141*('ADC''s, Trout'!S166/100)</f>
        <v>2.04557062253259</v>
      </c>
      <c r="AJ141" s="54">
        <v>2.2339304531085351</v>
      </c>
      <c r="AK141" s="54">
        <f>AJ141*('ADC''s, Trout'!T166/100)</f>
        <v>1.9805057761573286</v>
      </c>
      <c r="AL141" s="54">
        <v>1.5173867228661748</v>
      </c>
      <c r="AM141" s="54">
        <f>AL141*('ADC''s, Trout'!U166/100)</f>
        <v>1.4037776687270294</v>
      </c>
      <c r="AN141" s="54">
        <v>2.5711275026343516</v>
      </c>
      <c r="AO141" s="54">
        <f>AN141*('ADC''s, Trout'!V166/100)</f>
        <v>2.3184057199592569</v>
      </c>
      <c r="AP141" s="54">
        <v>56.786090621707046</v>
      </c>
      <c r="AQ141" s="54">
        <f>AP141*('ADC''s, Trout'!W166/100)</f>
        <v>51.230866690404781</v>
      </c>
      <c r="AR141" s="62">
        <v>7.3761854583772388</v>
      </c>
      <c r="AS141" s="68" t="s">
        <v>92</v>
      </c>
      <c r="AT141" s="69">
        <v>15.8</v>
      </c>
      <c r="AU141" s="26">
        <v>19</v>
      </c>
      <c r="AV141" s="428">
        <v>0.1791359325605901</v>
      </c>
      <c r="AW141" s="69">
        <v>15</v>
      </c>
      <c r="AX141" s="68" t="s">
        <v>92</v>
      </c>
      <c r="AY141" s="68" t="s">
        <v>92</v>
      </c>
      <c r="AZ141" s="62">
        <v>4.4257112750263436</v>
      </c>
      <c r="BA141" s="15">
        <f>AZ141*('ADC''s, Trout'!X151/100)</f>
        <v>0.44215836740777298</v>
      </c>
      <c r="BB141" s="62">
        <v>0.68493150684931503</v>
      </c>
      <c r="BC141" s="62">
        <v>0.55848261327713378</v>
      </c>
      <c r="BD141" s="62">
        <v>0.56902002107481553</v>
      </c>
      <c r="BE141" s="69">
        <v>12.6</v>
      </c>
    </row>
    <row r="142" spans="1:57">
      <c r="A142" s="3" t="s">
        <v>268</v>
      </c>
      <c r="B142" s="432">
        <v>94.6</v>
      </c>
      <c r="C142" s="54">
        <f>B142*('ADC''s, Trout'!C152/100)</f>
        <v>63.370831176379134</v>
      </c>
      <c r="D142" s="54">
        <v>4.0169133192389008</v>
      </c>
      <c r="E142" s="54">
        <f>D142*('ADC''s, Trout'!D152/100)</f>
        <v>3.0882241566454982</v>
      </c>
      <c r="F142" s="54">
        <v>81.60676532769557</v>
      </c>
      <c r="G142" s="54">
        <f>F142*('ADC''s, Trout'!E152/100)</f>
        <v>65.456931243342837</v>
      </c>
      <c r="H142" s="61" t="s">
        <v>212</v>
      </c>
      <c r="I142" s="61" t="s">
        <v>212</v>
      </c>
      <c r="J142" s="54">
        <v>7.3572938689217766</v>
      </c>
      <c r="K142" s="54">
        <f>J142*('ADC''s, Trout'!G152/100)</f>
        <v>6.316003011428986</v>
      </c>
      <c r="L142" s="54">
        <v>2.5158562367864694</v>
      </c>
      <c r="M142" s="54">
        <f>L142*('ADC''s, Trout'!H152/100)</f>
        <v>2.202252221294656</v>
      </c>
      <c r="N142" s="54">
        <v>4.8097251585623679</v>
      </c>
      <c r="O142" s="54">
        <f>N142*('ADC''s, Trout'!I152/100)</f>
        <v>3.613897940439454</v>
      </c>
      <c r="P142" s="54">
        <v>17.325581395348838</v>
      </c>
      <c r="Q142" s="54">
        <f>P142*('ADC''s, Trout'!J152/100)</f>
        <v>14.645270449083787</v>
      </c>
      <c r="R142" s="54">
        <v>2.1987315010570825</v>
      </c>
      <c r="S142" s="54">
        <f>R142*('ADC''s, Trout'!K152/100)</f>
        <v>1.5728909196788814</v>
      </c>
      <c r="T142" s="54">
        <v>1.6807610993657507</v>
      </c>
      <c r="U142" s="54">
        <f>T142*('ADC''s, Trout'!L167/100)</f>
        <v>1.4735859181174582</v>
      </c>
      <c r="V142" s="54">
        <v>3.382663847780127</v>
      </c>
      <c r="W142" s="54">
        <f>V142*('ADC''s, Trout'!M167/100)</f>
        <v>3.0063096494304049</v>
      </c>
      <c r="X142" s="54">
        <v>14.143763213530656</v>
      </c>
      <c r="Y142" s="54">
        <f>X142*('ADC''s, Trout'!N167/100)</f>
        <v>12.587099259416226</v>
      </c>
      <c r="Z142" s="54">
        <v>1.0887949260042284</v>
      </c>
      <c r="AA142" s="54">
        <f>Z142*('ADC''s, Trout'!O167/100)</f>
        <v>0.97290882955730118</v>
      </c>
      <c r="AB142" s="54">
        <v>1.8710359408033828</v>
      </c>
      <c r="AC142" s="54">
        <f>AB142*('ADC''s, Trout'!P167/100)</f>
        <v>1.6165381607940545</v>
      </c>
      <c r="AD142" s="54">
        <v>5.338266384778013</v>
      </c>
      <c r="AE142" s="54">
        <f>AD142*('ADC''s, Trout'!Q152/100)</f>
        <v>4.6018404701697584</v>
      </c>
      <c r="AF142" s="54">
        <v>8.0866807610993661</v>
      </c>
      <c r="AG142" s="54">
        <f>AF142*('ADC''s, Trout'!R152/100)</f>
        <v>6.7404701388739809</v>
      </c>
      <c r="AH142" s="54">
        <v>4.1649048625792817</v>
      </c>
      <c r="AI142" s="54">
        <f>AH142*('ADC''s, Trout'!S167/100)</f>
        <v>3.6353150845876008</v>
      </c>
      <c r="AJ142" s="54">
        <v>2.7378435517970403</v>
      </c>
      <c r="AK142" s="54">
        <f>AJ142*('ADC''s, Trout'!T167/100)</f>
        <v>2.3495969783488571</v>
      </c>
      <c r="AL142" s="54">
        <v>4.4503171247357294</v>
      </c>
      <c r="AM142" s="54">
        <f>AL142*('ADC''s, Trout'!U167/100)</f>
        <v>4.0468819924697295</v>
      </c>
      <c r="AN142" s="54">
        <v>3.7737843551797043</v>
      </c>
      <c r="AO142" s="54">
        <f>AN142*('ADC''s, Trout'!V167/100)</f>
        <v>3.325325771941523</v>
      </c>
      <c r="AP142" s="54">
        <v>84.926004228329816</v>
      </c>
      <c r="AQ142" s="54">
        <f>AP142*('ADC''s, Trout'!W167/100)</f>
        <v>74.287877121084719</v>
      </c>
      <c r="AR142" s="62">
        <v>5.9196617336152224E-2</v>
      </c>
      <c r="AS142" s="68" t="s">
        <v>92</v>
      </c>
      <c r="AT142" s="69">
        <v>126.8</v>
      </c>
      <c r="AU142" s="26">
        <v>62</v>
      </c>
      <c r="AV142" s="428">
        <v>6.5539112050739964E-2</v>
      </c>
      <c r="AW142" s="69">
        <v>7</v>
      </c>
      <c r="AX142" s="68" t="s">
        <v>92</v>
      </c>
      <c r="AY142" s="68" t="s">
        <v>92</v>
      </c>
      <c r="AZ142" s="62">
        <v>0.31712473572938693</v>
      </c>
      <c r="BA142" s="15">
        <f>AZ142*('ADC''s, Trout'!X152/100)</f>
        <v>7.4799251116457313E-2</v>
      </c>
      <c r="BB142" s="62">
        <v>0.13742071881606768</v>
      </c>
      <c r="BC142" s="62">
        <v>0.2536997885835095</v>
      </c>
      <c r="BD142" s="62">
        <v>1.0570824524312898</v>
      </c>
      <c r="BE142" s="69">
        <v>5.3</v>
      </c>
    </row>
    <row r="143" spans="1:57">
      <c r="A143" s="3" t="s">
        <v>271</v>
      </c>
      <c r="B143" s="432">
        <v>94.3</v>
      </c>
      <c r="C143" s="54">
        <f>B143*('ADC''s, Trout'!C153/100)</f>
        <v>73.922609215185958</v>
      </c>
      <c r="D143" s="54">
        <v>4.1357370095440089</v>
      </c>
      <c r="E143" s="54">
        <f>D143*('ADC''s, Trout'!D153/100)</f>
        <v>3.5224963578060495</v>
      </c>
      <c r="F143" s="54">
        <v>84.305408271474022</v>
      </c>
      <c r="G143" s="54">
        <f>F143*('ADC''s, Trout'!E153/100)</f>
        <v>69.933310327763678</v>
      </c>
      <c r="H143" s="61" t="s">
        <v>212</v>
      </c>
      <c r="I143" s="61" t="s">
        <v>212</v>
      </c>
      <c r="J143" s="54">
        <v>7.2746553552492053</v>
      </c>
      <c r="K143" s="54">
        <f>J143*('ADC''s, Trout'!G153/100)</f>
        <v>6.4185494367065115</v>
      </c>
      <c r="L143" s="54">
        <v>2.6193001060445389</v>
      </c>
      <c r="M143" s="54">
        <f>L143*('ADC''s, Trout'!H153/100)</f>
        <v>2.3391890194182179</v>
      </c>
      <c r="N143" s="54">
        <v>4.8674443266171794</v>
      </c>
      <c r="O143" s="54">
        <f>N143*('ADC''s, Trout'!I153/100)</f>
        <v>3.7453512576023735</v>
      </c>
      <c r="P143" s="54">
        <v>17.009544008483562</v>
      </c>
      <c r="Q143" s="54">
        <f>P143*('ADC''s, Trout'!J153/100)</f>
        <v>14.8207384959485</v>
      </c>
      <c r="R143" s="54">
        <v>2.2375397667020147</v>
      </c>
      <c r="S143" s="54">
        <f>R143*('ADC''s, Trout'!K153/100)</f>
        <v>1.7300279128302578</v>
      </c>
      <c r="T143" s="54">
        <v>1.6224814422057265</v>
      </c>
      <c r="U143" s="54">
        <f>T143*('ADC''s, Trout'!L168/100)</f>
        <v>1.3806244003433825</v>
      </c>
      <c r="V143" s="54">
        <v>3.3297985153764582</v>
      </c>
      <c r="W143" s="54">
        <f>V143*('ADC''s, Trout'!M168/100)</f>
        <v>2.8569631017809689</v>
      </c>
      <c r="X143" s="54">
        <v>13.806998939554614</v>
      </c>
      <c r="Y143" s="54">
        <f>X143*('ADC''s, Trout'!N168/100)</f>
        <v>11.960895732689211</v>
      </c>
      <c r="Z143" s="54">
        <v>5.1007423117709436</v>
      </c>
      <c r="AA143" s="54">
        <f>Z143*('ADC''s, Trout'!O168/100)</f>
        <v>4.4109157888124857</v>
      </c>
      <c r="AB143" s="54">
        <v>2.0572640509013786</v>
      </c>
      <c r="AC143" s="54">
        <f>AB143*('ADC''s, Trout'!P168/100)</f>
        <v>1.7543069333949506</v>
      </c>
      <c r="AD143" s="54">
        <v>5.2492046659597031</v>
      </c>
      <c r="AE143" s="54">
        <f>AD143*('ADC''s, Trout'!Q153/100)</f>
        <v>4.6623085556711912</v>
      </c>
      <c r="AF143" s="54">
        <v>7.8472958642629909</v>
      </c>
      <c r="AG143" s="54">
        <f>AF143*('ADC''s, Trout'!R153/100)</f>
        <v>6.8201734663518616</v>
      </c>
      <c r="AH143" s="54">
        <v>4.1887592788971366</v>
      </c>
      <c r="AI143" s="54">
        <f>AH143*('ADC''s, Trout'!S168/100)</f>
        <v>3.5799646597727777</v>
      </c>
      <c r="AJ143" s="54">
        <v>2.767762460233298</v>
      </c>
      <c r="AK143" s="54">
        <f>AJ143*('ADC''s, Trout'!T168/100)</f>
        <v>2.2753436645071599</v>
      </c>
      <c r="AL143" s="54">
        <v>4.4432661717921533</v>
      </c>
      <c r="AM143" s="54">
        <f>AL143*('ADC''s, Trout'!U168/100)</f>
        <v>3.9291634574921956</v>
      </c>
      <c r="AN143" s="54">
        <v>3.7221633085896078</v>
      </c>
      <c r="AO143" s="54">
        <f>AN143*('ADC''s, Trout'!V168/100)</f>
        <v>3.1795163982246408</v>
      </c>
      <c r="AP143" s="54">
        <v>88.144220572640535</v>
      </c>
      <c r="AQ143" s="54">
        <f>AP143*('ADC''s, Trout'!W168/100)</f>
        <v>74.962237635669709</v>
      </c>
      <c r="AR143" s="62">
        <v>9.1198303287380704E-3</v>
      </c>
      <c r="AS143" s="68" t="s">
        <v>92</v>
      </c>
      <c r="AT143" s="69">
        <v>137.9</v>
      </c>
      <c r="AU143" s="26">
        <v>47</v>
      </c>
      <c r="AV143" s="428">
        <v>3.4994697773064694E-2</v>
      </c>
      <c r="AW143" s="69">
        <v>2</v>
      </c>
      <c r="AX143" s="68" t="s">
        <v>92</v>
      </c>
      <c r="AY143" s="68" t="s">
        <v>92</v>
      </c>
      <c r="AZ143" s="62">
        <v>0.23329798515376463</v>
      </c>
      <c r="BA143" s="15">
        <f>AZ143*('ADC''s, Trout'!X153/100)</f>
        <v>0.13834122642602187</v>
      </c>
      <c r="BB143" s="62">
        <v>0.13785790031813361</v>
      </c>
      <c r="BC143" s="62">
        <v>0.19088016967126195</v>
      </c>
      <c r="BD143" s="62">
        <v>1.5906680805938496</v>
      </c>
      <c r="BE143" s="69">
        <v>4.8</v>
      </c>
    </row>
    <row r="144" spans="1:57">
      <c r="A144" s="3" t="s">
        <v>272</v>
      </c>
      <c r="B144" s="432">
        <v>90.5</v>
      </c>
      <c r="C144" s="54">
        <f>B144*('ADC''s, Trout'!C154/100)</f>
        <v>65.094497462075239</v>
      </c>
      <c r="D144" s="54">
        <v>2.5414364640883975</v>
      </c>
      <c r="E144" s="54">
        <f>D144*('ADC''s, Trout'!D154/100)</f>
        <v>1.7240731457177072</v>
      </c>
      <c r="F144" s="54">
        <v>87.955801104972366</v>
      </c>
      <c r="G144" s="54">
        <f>F144*('ADC''s, Trout'!E154/100)</f>
        <v>68.563919730592346</v>
      </c>
      <c r="H144" s="61" t="s">
        <v>212</v>
      </c>
      <c r="I144" s="61" t="s">
        <v>212</v>
      </c>
      <c r="J144" s="54">
        <v>8.3535911602209953</v>
      </c>
      <c r="K144" s="54">
        <f>J144*('ADC''s, Trout'!G154/100)</f>
        <v>6.9171399642034856</v>
      </c>
      <c r="L144" s="54">
        <v>2.8176795580110494</v>
      </c>
      <c r="M144" s="54">
        <f>L144*('ADC''s, Trout'!H154/100)</f>
        <v>2.3510140043987766</v>
      </c>
      <c r="N144" s="54">
        <v>5.5359116022099446</v>
      </c>
      <c r="O144" s="54">
        <f>N144*('ADC''s, Trout'!I154/100)</f>
        <v>3.8804934568781504</v>
      </c>
      <c r="P144" s="54">
        <v>19.613259668508288</v>
      </c>
      <c r="Q144" s="54">
        <f>P144*('ADC''s, Trout'!J154/100)</f>
        <v>15.994788764810934</v>
      </c>
      <c r="R144" s="54">
        <v>2.5303867403314917</v>
      </c>
      <c r="S144" s="54">
        <f>R144*('ADC''s, Trout'!K154/100)</f>
        <v>1.7230967626891529</v>
      </c>
      <c r="T144" s="54">
        <v>1.8232044198895028</v>
      </c>
      <c r="U144" s="54">
        <f>T144*('ADC''s, Trout'!L169/100)</f>
        <v>1.6114349994711104</v>
      </c>
      <c r="V144" s="54">
        <v>3.8895027624309391</v>
      </c>
      <c r="W144" s="54">
        <f>V144*('ADC''s, Trout'!M169/100)</f>
        <v>3.4274893463956113</v>
      </c>
      <c r="X144" s="54">
        <v>16.121546961325969</v>
      </c>
      <c r="Y144" s="54">
        <f>X144*('ADC''s, Trout'!N169/100)</f>
        <v>14.008855627749201</v>
      </c>
      <c r="Z144" s="54">
        <v>1.2375690607734808</v>
      </c>
      <c r="AA144" s="54">
        <f>Z144*('ADC''s, Trout'!O169/100)</f>
        <v>1.1120417820039803</v>
      </c>
      <c r="AB144" s="54">
        <v>2.0552486187845305</v>
      </c>
      <c r="AC144" s="54">
        <f>AB144*('ADC''s, Trout'!P169/100)</f>
        <v>1.835292179469266</v>
      </c>
      <c r="AD144" s="54">
        <v>6.0994475138121551</v>
      </c>
      <c r="AE144" s="54">
        <f>AD144*('ADC''s, Trout'!Q154/100)</f>
        <v>5.0578861854654074</v>
      </c>
      <c r="AF144" s="54">
        <v>9.0939226519337009</v>
      </c>
      <c r="AG144" s="54">
        <f>AF144*('ADC''s, Trout'!R154/100)</f>
        <v>7.1521132061622117</v>
      </c>
      <c r="AH144" s="54">
        <v>4.6961325966850831</v>
      </c>
      <c r="AI144" s="54">
        <f>AH144*('ADC''s, Trout'!S169/100)</f>
        <v>4.143422185549257</v>
      </c>
      <c r="AJ144" s="54">
        <v>3.1381215469613259</v>
      </c>
      <c r="AK144" s="54">
        <f>AJ144*('ADC''s, Trout'!T169/100)</f>
        <v>2.6225392433592498</v>
      </c>
      <c r="AL144" s="54">
        <v>5.082872928176795</v>
      </c>
      <c r="AM144" s="54">
        <f>AL144*('ADC''s, Trout'!U169/100)</f>
        <v>4.6151700805439662</v>
      </c>
      <c r="AN144" s="54">
        <v>4.2872928176795577</v>
      </c>
      <c r="AO144" s="54">
        <f>AN144*('ADC''s, Trout'!V169/100)</f>
        <v>3.7500419637285534</v>
      </c>
      <c r="AP144" s="54">
        <v>96.375690607734811</v>
      </c>
      <c r="AQ144" s="54">
        <f>AP144*('ADC''s, Trout'!W169/100)</f>
        <v>85.026779231567218</v>
      </c>
      <c r="AR144" s="62">
        <v>7.6243093922651927E-3</v>
      </c>
      <c r="AS144" s="68" t="s">
        <v>92</v>
      </c>
      <c r="AT144" s="69">
        <v>187.8</v>
      </c>
      <c r="AU144" s="26">
        <v>38</v>
      </c>
      <c r="AV144" s="428">
        <v>3.4254143646408844E-2</v>
      </c>
      <c r="AW144" s="69">
        <v>2</v>
      </c>
      <c r="AX144" s="68" t="s">
        <v>92</v>
      </c>
      <c r="AY144" s="68" t="s">
        <v>92</v>
      </c>
      <c r="AZ144" s="62">
        <v>0.22099447513812157</v>
      </c>
      <c r="BA144" s="15">
        <f>AZ144*('ADC''s, Trout'!X154/100)</f>
        <v>0.12851576224242603</v>
      </c>
      <c r="BB144" s="62">
        <v>0.10497237569060773</v>
      </c>
      <c r="BC144" s="62">
        <v>0.19889502762430938</v>
      </c>
      <c r="BD144" s="62">
        <v>1.3259668508287292</v>
      </c>
      <c r="BE144" s="69">
        <v>4.0999999999999996</v>
      </c>
    </row>
    <row r="145" spans="1:57">
      <c r="A145" s="3" t="s">
        <v>273</v>
      </c>
      <c r="B145" s="432">
        <v>94.5</v>
      </c>
      <c r="C145" s="54">
        <f>B145*('ADC''s, Trout'!C155/100)</f>
        <v>24.866480535965113</v>
      </c>
      <c r="D145" s="54">
        <v>1.3756613756613756</v>
      </c>
      <c r="E145" s="54">
        <f>D145*('ADC''s, Trout'!D155/100)</f>
        <v>1.3756613756613756</v>
      </c>
      <c r="F145" s="54">
        <v>28.148148148148149</v>
      </c>
      <c r="G145" s="54">
        <f>F145*('ADC''s, Trout'!E155/100)</f>
        <v>20.321764999634585</v>
      </c>
      <c r="H145" s="61" t="s">
        <v>212</v>
      </c>
      <c r="I145" s="61" t="s">
        <v>212</v>
      </c>
      <c r="J145" s="54">
        <v>1.1216931216931216</v>
      </c>
      <c r="K145" s="54">
        <f>J145*('ADC''s, Trout'!G155/100)</f>
        <v>0.8828617200195239</v>
      </c>
      <c r="L145" s="54">
        <v>1.3862433862433863</v>
      </c>
      <c r="M145" s="54">
        <f>L145*('ADC''s, Trout'!H155/100)</f>
        <v>1.2131079596511209</v>
      </c>
      <c r="N145" s="54">
        <v>1.5132275132275133</v>
      </c>
      <c r="O145" s="54">
        <f>N145*('ADC''s, Trout'!I155/100)</f>
        <v>0.85677367146769923</v>
      </c>
      <c r="P145" s="54">
        <v>7.2169312169312168</v>
      </c>
      <c r="Q145" s="54">
        <f>P145*('ADC''s, Trout'!J155/100)</f>
        <v>6.3361559924745361</v>
      </c>
      <c r="R145" s="54">
        <v>1.0582010582010581</v>
      </c>
      <c r="S145" s="54">
        <f>R145*('ADC''s, Trout'!K155/100)</f>
        <v>0.71722200987739082</v>
      </c>
      <c r="T145" s="54">
        <v>0.63492063492063489</v>
      </c>
      <c r="U145" s="54">
        <f>T145*('ADC''s, Trout'!L170/100)</f>
        <v>0.56812248704358204</v>
      </c>
      <c r="V145" s="54">
        <v>1.1216931216931216</v>
      </c>
      <c r="W145" s="54">
        <f>V145*('ADC''s, Trout'!M170/100)</f>
        <v>0.99294984401405528</v>
      </c>
      <c r="X145" s="54">
        <v>2.052910052910053</v>
      </c>
      <c r="Y145" s="54">
        <f>X145*('ADC''s, Trout'!N170/100)</f>
        <v>1.8353383315347374</v>
      </c>
      <c r="Z145" s="54">
        <v>0.98412698412698407</v>
      </c>
      <c r="AA145" s="54">
        <f>Z145*('ADC''s, Trout'!O170/100)</f>
        <v>0.90279496909126522</v>
      </c>
      <c r="AB145" s="54">
        <v>0.44444444444444442</v>
      </c>
      <c r="AC145" s="54">
        <f>AB145*('ADC''s, Trout'!P170/100)</f>
        <v>0.38482817593928703</v>
      </c>
      <c r="AD145" s="54">
        <v>1.5767195767195767</v>
      </c>
      <c r="AE145" s="54">
        <f>AD145*('ADC''s, Trout'!Q155/100)</f>
        <v>1.3848334377406126</v>
      </c>
      <c r="AF145" s="54">
        <v>3.3227513227513228</v>
      </c>
      <c r="AG145" s="54">
        <f>AF145*('ADC''s, Trout'!R155/100)</f>
        <v>2.9109832020310713</v>
      </c>
      <c r="AH145" s="54">
        <v>1.0264550264550265</v>
      </c>
      <c r="AI145" s="54">
        <f>AH145*('ADC''s, Trout'!S170/100)</f>
        <v>0.92430403336439015</v>
      </c>
      <c r="AJ145" s="54">
        <v>0.87830687830687826</v>
      </c>
      <c r="AK145" s="54">
        <f>AJ145*('ADC''s, Trout'!T170/100)</f>
        <v>0.75958413112801182</v>
      </c>
      <c r="AL145" s="54">
        <v>0.91005291005291</v>
      </c>
      <c r="AM145" s="54">
        <f>AL145*('ADC''s, Trout'!U170/100)</f>
        <v>0.82817365405102961</v>
      </c>
      <c r="AN145" s="54">
        <v>1.4814814814814814</v>
      </c>
      <c r="AO145" s="54">
        <f>AN145*('ADC''s, Trout'!V170/100)</f>
        <v>1.2909619101748728</v>
      </c>
      <c r="AP145" s="54">
        <v>26.730158730158731</v>
      </c>
      <c r="AQ145" s="54">
        <f>AP145*('ADC''s, Trout'!W170/100)</f>
        <v>23.658045612742189</v>
      </c>
      <c r="AR145" s="62">
        <v>0.23280423280423282</v>
      </c>
      <c r="AS145" s="62">
        <v>0.01</v>
      </c>
      <c r="AT145" s="69">
        <v>105.8</v>
      </c>
      <c r="AU145" s="26">
        <v>74</v>
      </c>
      <c r="AV145" s="428">
        <v>0.25396825396825395</v>
      </c>
      <c r="AW145" s="69">
        <v>2.6</v>
      </c>
      <c r="AX145" s="68" t="s">
        <v>92</v>
      </c>
      <c r="AY145" s="68" t="s">
        <v>92</v>
      </c>
      <c r="AZ145" s="62">
        <v>0.91005291005291</v>
      </c>
      <c r="BA145" s="15">
        <f>AZ145*('ADC''s, Trout'!X155/100)</f>
        <v>0.25848064662003045</v>
      </c>
      <c r="BB145" s="62">
        <v>0.76190476190476197</v>
      </c>
      <c r="BC145" s="62">
        <v>3.3862433862433858E-2</v>
      </c>
      <c r="BD145" s="62">
        <v>0.33862433862433866</v>
      </c>
      <c r="BE145" s="69">
        <v>7.6</v>
      </c>
    </row>
    <row r="146" spans="1:57">
      <c r="B146" s="432"/>
      <c r="C146" s="432"/>
      <c r="D146" s="432"/>
      <c r="E146" s="432"/>
      <c r="F146" s="432"/>
      <c r="G146" s="432"/>
      <c r="H146" s="432"/>
      <c r="I146" s="432"/>
      <c r="J146" s="432"/>
      <c r="K146" s="432"/>
      <c r="L146" s="432"/>
      <c r="M146" s="432"/>
      <c r="N146" s="432"/>
      <c r="O146" s="432"/>
      <c r="P146" s="432"/>
      <c r="Q146" s="432"/>
      <c r="R146" s="432"/>
      <c r="S146" s="432"/>
      <c r="T146" s="432"/>
      <c r="U146" s="432"/>
      <c r="V146" s="432"/>
      <c r="W146" s="432"/>
      <c r="X146" s="432"/>
      <c r="Y146" s="432"/>
      <c r="Z146" s="432"/>
      <c r="AA146" s="432"/>
      <c r="AB146" s="432"/>
      <c r="AC146" s="432"/>
      <c r="AD146" s="432"/>
      <c r="AE146" s="432"/>
      <c r="AF146" s="432"/>
      <c r="AG146" s="432"/>
      <c r="AH146" s="432"/>
      <c r="AI146" s="432"/>
      <c r="AJ146" s="432"/>
      <c r="AK146" s="432"/>
      <c r="AL146" s="432"/>
      <c r="AM146" s="432"/>
      <c r="AN146" s="432"/>
      <c r="AO146" s="432"/>
      <c r="AP146" s="432"/>
      <c r="AQ146" s="432"/>
      <c r="AR146" s="432"/>
      <c r="AS146" s="432"/>
      <c r="AT146" s="432"/>
      <c r="AU146" s="432"/>
      <c r="AV146" s="432"/>
      <c r="AW146" s="432"/>
      <c r="AX146" s="432"/>
      <c r="AY146" s="432"/>
      <c r="AZ146" s="432"/>
      <c r="BA146" s="432"/>
      <c r="BB146" s="432"/>
      <c r="BC146" s="432"/>
      <c r="BD146" s="432"/>
      <c r="BE146" s="432"/>
    </row>
    <row r="147" spans="1:57">
      <c r="B147" s="432"/>
      <c r="C147" s="432"/>
      <c r="D147" s="432"/>
      <c r="E147" s="432"/>
      <c r="F147" s="432"/>
      <c r="G147" s="432"/>
      <c r="H147" s="432"/>
      <c r="I147" s="432"/>
      <c r="J147" s="432"/>
      <c r="K147" s="432"/>
      <c r="L147" s="432"/>
      <c r="M147" s="432"/>
      <c r="N147" s="432"/>
      <c r="O147" s="432"/>
      <c r="P147" s="432"/>
      <c r="Q147" s="432"/>
      <c r="R147" s="432"/>
      <c r="S147" s="432"/>
      <c r="T147" s="432"/>
      <c r="U147" s="432"/>
      <c r="V147" s="432"/>
      <c r="W147" s="432"/>
      <c r="X147" s="432"/>
      <c r="Y147" s="432"/>
      <c r="Z147" s="432"/>
      <c r="AA147" s="432"/>
      <c r="AB147" s="432"/>
      <c r="AC147" s="432"/>
      <c r="AD147" s="432"/>
      <c r="AE147" s="432"/>
      <c r="AF147" s="432"/>
      <c r="AG147" s="432"/>
      <c r="AH147" s="432"/>
      <c r="AI147" s="432"/>
      <c r="AJ147" s="432"/>
      <c r="AK147" s="432"/>
      <c r="AL147" s="432"/>
      <c r="AM147" s="432"/>
      <c r="AN147" s="432"/>
      <c r="AO147" s="432"/>
      <c r="AP147" s="432"/>
      <c r="AQ147" s="432"/>
      <c r="AR147" s="432"/>
      <c r="AS147" s="432"/>
      <c r="AT147" s="432"/>
      <c r="AU147" s="432"/>
      <c r="AV147" s="432"/>
      <c r="AW147" s="432"/>
      <c r="AX147" s="432"/>
      <c r="AY147" s="432"/>
      <c r="AZ147" s="432"/>
      <c r="BA147" s="432"/>
      <c r="BB147" s="432"/>
      <c r="BC147" s="432"/>
      <c r="BD147" s="432"/>
      <c r="BE147" s="432"/>
    </row>
  </sheetData>
  <mergeCells count="225">
    <mergeCell ref="AL139:AM139"/>
    <mergeCell ref="AN139:AO139"/>
    <mergeCell ref="AP139:AQ139"/>
    <mergeCell ref="AZ139:BA139"/>
    <mergeCell ref="T139:U139"/>
    <mergeCell ref="V139:W139"/>
    <mergeCell ref="X139:Y139"/>
    <mergeCell ref="Z139:AA139"/>
    <mergeCell ref="AB139:AC139"/>
    <mergeCell ref="AD139:AE139"/>
    <mergeCell ref="AF139:AG139"/>
    <mergeCell ref="AH139:AI139"/>
    <mergeCell ref="AJ139:AK139"/>
    <mergeCell ref="B139:C139"/>
    <mergeCell ref="D139:E139"/>
    <mergeCell ref="F139:G139"/>
    <mergeCell ref="H139:I139"/>
    <mergeCell ref="J139:K139"/>
    <mergeCell ref="L139:M139"/>
    <mergeCell ref="N139:O139"/>
    <mergeCell ref="P139:Q139"/>
    <mergeCell ref="R139:S139"/>
    <mergeCell ref="AN102:AO102"/>
    <mergeCell ref="V102:W102"/>
    <mergeCell ref="AZ125:BA125"/>
    <mergeCell ref="AD5:AE5"/>
    <mergeCell ref="AD35:AE35"/>
    <mergeCell ref="AD48:AE48"/>
    <mergeCell ref="AD64:AE64"/>
    <mergeCell ref="AD76:AE76"/>
    <mergeCell ref="AD91:AE91"/>
    <mergeCell ref="AD102:AE102"/>
    <mergeCell ref="AZ102:BA102"/>
    <mergeCell ref="AZ115:BA115"/>
    <mergeCell ref="AZ76:BA76"/>
    <mergeCell ref="AZ91:BA91"/>
    <mergeCell ref="AZ5:BA5"/>
    <mergeCell ref="AZ35:BA35"/>
    <mergeCell ref="AZ48:BA48"/>
    <mergeCell ref="AZ64:BA64"/>
    <mergeCell ref="AP102:AQ102"/>
    <mergeCell ref="AP125:AQ125"/>
    <mergeCell ref="AJ125:AK125"/>
    <mergeCell ref="AL125:AM125"/>
    <mergeCell ref="AN125:AO125"/>
    <mergeCell ref="AJ102:AK102"/>
    <mergeCell ref="AL102:AM102"/>
    <mergeCell ref="AL115:AM115"/>
    <mergeCell ref="AH125:AI125"/>
    <mergeCell ref="AD125:AE125"/>
    <mergeCell ref="X102:Y102"/>
    <mergeCell ref="AN115:AO115"/>
    <mergeCell ref="Z115:AA115"/>
    <mergeCell ref="F102:G102"/>
    <mergeCell ref="H102:I102"/>
    <mergeCell ref="J102:K102"/>
    <mergeCell ref="L102:M102"/>
    <mergeCell ref="R102:S102"/>
    <mergeCell ref="T102:U102"/>
    <mergeCell ref="N102:O102"/>
    <mergeCell ref="P102:Q102"/>
    <mergeCell ref="X125:Y125"/>
    <mergeCell ref="R125:S125"/>
    <mergeCell ref="T125:U125"/>
    <mergeCell ref="Z125:AA125"/>
    <mergeCell ref="AF102:AG102"/>
    <mergeCell ref="AF115:AG115"/>
    <mergeCell ref="T115:U115"/>
    <mergeCell ref="V125:W125"/>
    <mergeCell ref="AB125:AC125"/>
    <mergeCell ref="AF125:AG125"/>
    <mergeCell ref="X115:Y115"/>
    <mergeCell ref="F125:G125"/>
    <mergeCell ref="H125:I125"/>
    <mergeCell ref="J125:K125"/>
    <mergeCell ref="L125:M125"/>
    <mergeCell ref="N125:O125"/>
    <mergeCell ref="P125:Q125"/>
    <mergeCell ref="F115:G115"/>
    <mergeCell ref="H115:I115"/>
    <mergeCell ref="P115:Q115"/>
    <mergeCell ref="R115:S115"/>
    <mergeCell ref="V115:W115"/>
    <mergeCell ref="AJ115:AK115"/>
    <mergeCell ref="AP91:AQ91"/>
    <mergeCell ref="J91:K91"/>
    <mergeCell ref="L91:M91"/>
    <mergeCell ref="N91:O91"/>
    <mergeCell ref="AB91:AC91"/>
    <mergeCell ref="AF91:AG91"/>
    <mergeCell ref="AH91:AI91"/>
    <mergeCell ref="AJ91:AK91"/>
    <mergeCell ref="R91:S91"/>
    <mergeCell ref="T91:U91"/>
    <mergeCell ref="V91:W91"/>
    <mergeCell ref="X91:Y91"/>
    <mergeCell ref="AD115:AE115"/>
    <mergeCell ref="AB102:AC102"/>
    <mergeCell ref="AB115:AC115"/>
    <mergeCell ref="Z102:AA102"/>
    <mergeCell ref="AH102:AI102"/>
    <mergeCell ref="AH115:AI115"/>
    <mergeCell ref="Z91:AA91"/>
    <mergeCell ref="AP115:AQ115"/>
    <mergeCell ref="J115:K115"/>
    <mergeCell ref="L115:M115"/>
    <mergeCell ref="N115:O115"/>
    <mergeCell ref="AP76:AQ76"/>
    <mergeCell ref="J76:K76"/>
    <mergeCell ref="L76:M76"/>
    <mergeCell ref="N76:O76"/>
    <mergeCell ref="AJ76:AK76"/>
    <mergeCell ref="AL76:AM76"/>
    <mergeCell ref="AN76:AO76"/>
    <mergeCell ref="P76:Q76"/>
    <mergeCell ref="AH76:AI76"/>
    <mergeCell ref="AB76:AC76"/>
    <mergeCell ref="AF76:AG76"/>
    <mergeCell ref="R76:S76"/>
    <mergeCell ref="T76:U76"/>
    <mergeCell ref="F76:G76"/>
    <mergeCell ref="H76:I76"/>
    <mergeCell ref="V76:W76"/>
    <mergeCell ref="X76:Y76"/>
    <mergeCell ref="Z76:AA76"/>
    <mergeCell ref="N64:O64"/>
    <mergeCell ref="P64:Q64"/>
    <mergeCell ref="AN91:AO91"/>
    <mergeCell ref="P91:Q91"/>
    <mergeCell ref="AL91:AM91"/>
    <mergeCell ref="F64:G64"/>
    <mergeCell ref="H64:I64"/>
    <mergeCell ref="F91:G91"/>
    <mergeCell ref="H91:I91"/>
    <mergeCell ref="X48:Y48"/>
    <mergeCell ref="Z48:AA48"/>
    <mergeCell ref="AP64:AQ64"/>
    <mergeCell ref="AP48:AQ48"/>
    <mergeCell ref="AL48:AM48"/>
    <mergeCell ref="AN48:AO48"/>
    <mergeCell ref="AJ64:AK64"/>
    <mergeCell ref="AL64:AM64"/>
    <mergeCell ref="AN64:AO64"/>
    <mergeCell ref="AJ48:AK48"/>
    <mergeCell ref="AB48:AC48"/>
    <mergeCell ref="AF48:AG48"/>
    <mergeCell ref="AH48:AI48"/>
    <mergeCell ref="AB64:AC64"/>
    <mergeCell ref="AF64:AG64"/>
    <mergeCell ref="AH64:AI64"/>
    <mergeCell ref="X64:Y64"/>
    <mergeCell ref="Z64:AA64"/>
    <mergeCell ref="R48:S48"/>
    <mergeCell ref="T48:U48"/>
    <mergeCell ref="V48:W48"/>
    <mergeCell ref="J64:K64"/>
    <mergeCell ref="L64:M64"/>
    <mergeCell ref="F48:G48"/>
    <mergeCell ref="H48:I48"/>
    <mergeCell ref="R64:S64"/>
    <mergeCell ref="T64:U64"/>
    <mergeCell ref="J48:K48"/>
    <mergeCell ref="L48:M48"/>
    <mergeCell ref="N48:O48"/>
    <mergeCell ref="P48:Q48"/>
    <mergeCell ref="V64:W64"/>
    <mergeCell ref="B125:C125"/>
    <mergeCell ref="D125:E125"/>
    <mergeCell ref="B5:C5"/>
    <mergeCell ref="D5:E5"/>
    <mergeCell ref="B35:C35"/>
    <mergeCell ref="D35:E35"/>
    <mergeCell ref="B48:C48"/>
    <mergeCell ref="D48:E48"/>
    <mergeCell ref="B64:C64"/>
    <mergeCell ref="D64:E64"/>
    <mergeCell ref="B76:C76"/>
    <mergeCell ref="D76:E76"/>
    <mergeCell ref="B115:C115"/>
    <mergeCell ref="D115:E115"/>
    <mergeCell ref="B91:C91"/>
    <mergeCell ref="D91:E91"/>
    <mergeCell ref="B102:C102"/>
    <mergeCell ref="D102:E102"/>
    <mergeCell ref="F35:G35"/>
    <mergeCell ref="H35:I35"/>
    <mergeCell ref="AP35:AQ35"/>
    <mergeCell ref="J35:K35"/>
    <mergeCell ref="L35:M35"/>
    <mergeCell ref="N35:O35"/>
    <mergeCell ref="AL35:AM35"/>
    <mergeCell ref="AN35:AO35"/>
    <mergeCell ref="AF35:AG35"/>
    <mergeCell ref="AH35:AI35"/>
    <mergeCell ref="X35:Y35"/>
    <mergeCell ref="Z35:AA35"/>
    <mergeCell ref="P35:Q35"/>
    <mergeCell ref="R35:S35"/>
    <mergeCell ref="T35:U35"/>
    <mergeCell ref="V35:W35"/>
    <mergeCell ref="AB35:AC35"/>
    <mergeCell ref="F5:G5"/>
    <mergeCell ref="AJ5:AK5"/>
    <mergeCell ref="AL5:AM5"/>
    <mergeCell ref="AN5:AO5"/>
    <mergeCell ref="H5:I5"/>
    <mergeCell ref="AF5:AG5"/>
    <mergeCell ref="J5:K5"/>
    <mergeCell ref="L5:M5"/>
    <mergeCell ref="P5:Q5"/>
    <mergeCell ref="R5:S5"/>
    <mergeCell ref="N5:O5"/>
    <mergeCell ref="X5:Y5"/>
    <mergeCell ref="Z5:AA5"/>
    <mergeCell ref="AB5:AC5"/>
    <mergeCell ref="I1:S1"/>
    <mergeCell ref="BF34:BK34"/>
    <mergeCell ref="BF35:BG35"/>
    <mergeCell ref="BH35:BI35"/>
    <mergeCell ref="BJ35:BK35"/>
    <mergeCell ref="AP5:AQ5"/>
    <mergeCell ref="AH5:AI5"/>
    <mergeCell ref="T5:U5"/>
    <mergeCell ref="V5:W5"/>
    <mergeCell ref="AJ35:AK35"/>
  </mergeCells>
  <phoneticPr fontId="20" type="noConversion"/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BL61"/>
  <sheetViews>
    <sheetView zoomScaleNormal="100" workbookViewId="0">
      <pane xSplit="1" topLeftCell="B1" activePane="topRight" state="frozen"/>
      <selection pane="topRight" activeCell="J67" sqref="J67"/>
    </sheetView>
  </sheetViews>
  <sheetFormatPr defaultRowHeight="12.75"/>
  <cols>
    <col min="1" max="1" width="56.5703125" customWidth="1"/>
    <col min="10" max="26" width="9.140625" bestFit="1" customWidth="1"/>
    <col min="27" max="27" width="9.28515625" bestFit="1" customWidth="1"/>
    <col min="28" max="28" width="9.140625" bestFit="1" customWidth="1"/>
    <col min="29" max="29" width="9.28515625" bestFit="1" customWidth="1"/>
    <col min="30" max="43" width="9.140625" bestFit="1" customWidth="1"/>
  </cols>
  <sheetData>
    <row r="1" spans="1:58" ht="98.45" customHeight="1">
      <c r="I1" s="249" t="s">
        <v>256</v>
      </c>
      <c r="J1" s="249"/>
      <c r="K1" s="249"/>
      <c r="L1" s="249"/>
      <c r="M1" s="249"/>
      <c r="N1" s="249"/>
      <c r="O1" s="249"/>
      <c r="P1" s="249"/>
      <c r="Q1" s="249"/>
      <c r="R1" s="249"/>
      <c r="S1" s="249"/>
      <c r="AN1" s="249" t="s">
        <v>256</v>
      </c>
    </row>
    <row r="2" spans="1:58">
      <c r="B2" t="s">
        <v>209</v>
      </c>
      <c r="F2" s="252" t="str">
        <f>'ADC''s, HSB'!Y1</f>
        <v>Last updated; April 5, 2011</v>
      </c>
      <c r="K2" s="89"/>
      <c r="P2" s="21"/>
      <c r="Q2" s="21"/>
      <c r="AS2" s="49" t="s">
        <v>211</v>
      </c>
    </row>
    <row r="3" spans="1:58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</row>
    <row r="4" spans="1:58" ht="18.75">
      <c r="B4" s="109"/>
      <c r="C4" s="109"/>
      <c r="D4" s="293" t="s">
        <v>214</v>
      </c>
      <c r="E4" s="293"/>
      <c r="F4" s="98"/>
      <c r="G4" s="98"/>
      <c r="H4" s="109"/>
      <c r="I4" s="294"/>
      <c r="J4" s="154"/>
      <c r="K4" s="90"/>
      <c r="L4" s="106" t="s">
        <v>218</v>
      </c>
      <c r="M4" s="155"/>
      <c r="N4" s="90"/>
      <c r="O4" s="90"/>
      <c r="P4" s="154"/>
      <c r="Q4" s="155"/>
      <c r="R4" s="90"/>
      <c r="S4" s="90"/>
      <c r="T4" s="90"/>
      <c r="U4" s="90"/>
      <c r="V4" s="90"/>
      <c r="W4" s="90"/>
      <c r="X4" s="106"/>
      <c r="Y4" s="90"/>
      <c r="Z4" s="90"/>
      <c r="AA4" s="90"/>
      <c r="AB4" s="106" t="s">
        <v>218</v>
      </c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144"/>
      <c r="AQ4" s="145"/>
      <c r="AR4" s="297"/>
      <c r="AS4" s="247"/>
      <c r="AT4" s="247"/>
      <c r="AU4" s="247"/>
      <c r="AV4" s="298"/>
      <c r="AW4" s="299" t="s">
        <v>239</v>
      </c>
      <c r="AX4" s="247"/>
      <c r="AY4" s="247"/>
      <c r="AZ4" s="122"/>
      <c r="BA4" s="122"/>
      <c r="BB4" s="247"/>
      <c r="BC4" s="247"/>
      <c r="BD4" s="247"/>
      <c r="BE4" s="300"/>
    </row>
    <row r="5" spans="1:58">
      <c r="A5" s="117" t="s">
        <v>40</v>
      </c>
      <c r="B5" s="455" t="s">
        <v>240</v>
      </c>
      <c r="C5" s="455"/>
      <c r="D5" s="452" t="s">
        <v>1</v>
      </c>
      <c r="E5" s="453"/>
      <c r="F5" s="452" t="s">
        <v>236</v>
      </c>
      <c r="G5" s="453"/>
      <c r="H5" s="455" t="s">
        <v>235</v>
      </c>
      <c r="I5" s="456"/>
      <c r="J5" s="449" t="s">
        <v>221</v>
      </c>
      <c r="K5" s="449"/>
      <c r="L5" s="446" t="s">
        <v>222</v>
      </c>
      <c r="M5" s="451"/>
      <c r="N5" s="449" t="s">
        <v>237</v>
      </c>
      <c r="O5" s="450"/>
      <c r="P5" s="446" t="s">
        <v>223</v>
      </c>
      <c r="Q5" s="451"/>
      <c r="R5" s="446" t="s">
        <v>224</v>
      </c>
      <c r="S5" s="451"/>
      <c r="T5" s="449" t="s">
        <v>225</v>
      </c>
      <c r="U5" s="450"/>
      <c r="V5" s="446" t="s">
        <v>226</v>
      </c>
      <c r="W5" s="451"/>
      <c r="X5" s="449" t="s">
        <v>227</v>
      </c>
      <c r="Y5" s="450"/>
      <c r="Z5" s="446" t="s">
        <v>219</v>
      </c>
      <c r="AA5" s="451"/>
      <c r="AB5" s="449" t="s">
        <v>228</v>
      </c>
      <c r="AC5" s="450"/>
      <c r="AD5" s="446" t="s">
        <v>229</v>
      </c>
      <c r="AE5" s="448"/>
      <c r="AF5" s="449" t="s">
        <v>230</v>
      </c>
      <c r="AG5" s="449"/>
      <c r="AH5" s="446" t="s">
        <v>231</v>
      </c>
      <c r="AI5" s="448"/>
      <c r="AJ5" s="449" t="s">
        <v>232</v>
      </c>
      <c r="AK5" s="449"/>
      <c r="AL5" s="446" t="s">
        <v>233</v>
      </c>
      <c r="AM5" s="451"/>
      <c r="AN5" s="446" t="s">
        <v>234</v>
      </c>
      <c r="AO5" s="454"/>
      <c r="AP5" s="446" t="s">
        <v>220</v>
      </c>
      <c r="AQ5" s="447"/>
      <c r="AR5" s="219" t="s">
        <v>4</v>
      </c>
      <c r="AS5" s="121" t="s">
        <v>5</v>
      </c>
      <c r="AT5" s="121" t="s">
        <v>6</v>
      </c>
      <c r="AU5" s="122" t="s">
        <v>7</v>
      </c>
      <c r="AV5" s="121" t="s">
        <v>8</v>
      </c>
      <c r="AW5" s="121" t="s">
        <v>9</v>
      </c>
      <c r="AX5" s="121" t="s">
        <v>10</v>
      </c>
      <c r="AY5" s="121" t="s">
        <v>11</v>
      </c>
      <c r="AZ5" s="457" t="s">
        <v>238</v>
      </c>
      <c r="BA5" s="458"/>
      <c r="BB5" s="121" t="s">
        <v>13</v>
      </c>
      <c r="BC5" s="121" t="s">
        <v>14</v>
      </c>
      <c r="BD5" s="121" t="s">
        <v>15</v>
      </c>
      <c r="BE5" s="220" t="s">
        <v>16</v>
      </c>
      <c r="BF5" s="1"/>
    </row>
    <row r="6" spans="1:58" ht="16.5" thickBot="1">
      <c r="A6" s="73" t="s">
        <v>251</v>
      </c>
      <c r="B6" s="149" t="s">
        <v>217</v>
      </c>
      <c r="C6" s="100" t="s">
        <v>215</v>
      </c>
      <c r="D6" s="149" t="s">
        <v>217</v>
      </c>
      <c r="E6" s="150" t="s">
        <v>215</v>
      </c>
      <c r="F6" s="149" t="s">
        <v>101</v>
      </c>
      <c r="G6" s="150" t="s">
        <v>215</v>
      </c>
      <c r="H6" s="100" t="s">
        <v>216</v>
      </c>
      <c r="I6" s="295" t="s">
        <v>215</v>
      </c>
      <c r="J6" s="146" t="s">
        <v>217</v>
      </c>
      <c r="K6" s="146" t="s">
        <v>215</v>
      </c>
      <c r="L6" s="151" t="s">
        <v>217</v>
      </c>
      <c r="M6" s="152" t="s">
        <v>215</v>
      </c>
      <c r="N6" s="146" t="s">
        <v>217</v>
      </c>
      <c r="O6" s="146" t="s">
        <v>215</v>
      </c>
      <c r="P6" s="151" t="s">
        <v>217</v>
      </c>
      <c r="Q6" s="152" t="s">
        <v>215</v>
      </c>
      <c r="R6" s="151" t="s">
        <v>217</v>
      </c>
      <c r="S6" s="152" t="s">
        <v>215</v>
      </c>
      <c r="T6" s="146" t="s">
        <v>217</v>
      </c>
      <c r="U6" s="146" t="s">
        <v>215</v>
      </c>
      <c r="V6" s="151" t="s">
        <v>217</v>
      </c>
      <c r="W6" s="152" t="s">
        <v>215</v>
      </c>
      <c r="X6" s="146" t="s">
        <v>217</v>
      </c>
      <c r="Y6" s="146" t="s">
        <v>215</v>
      </c>
      <c r="Z6" s="151" t="s">
        <v>217</v>
      </c>
      <c r="AA6" s="152" t="s">
        <v>215</v>
      </c>
      <c r="AB6" s="146" t="s">
        <v>217</v>
      </c>
      <c r="AC6" s="146" t="s">
        <v>215</v>
      </c>
      <c r="AD6" s="151" t="s">
        <v>217</v>
      </c>
      <c r="AE6" s="152" t="s">
        <v>215</v>
      </c>
      <c r="AF6" s="146" t="s">
        <v>217</v>
      </c>
      <c r="AG6" s="146" t="s">
        <v>215</v>
      </c>
      <c r="AH6" s="151" t="s">
        <v>217</v>
      </c>
      <c r="AI6" s="152" t="s">
        <v>215</v>
      </c>
      <c r="AJ6" s="146" t="s">
        <v>217</v>
      </c>
      <c r="AK6" s="146" t="s">
        <v>215</v>
      </c>
      <c r="AL6" s="151" t="s">
        <v>217</v>
      </c>
      <c r="AM6" s="152" t="s">
        <v>215</v>
      </c>
      <c r="AN6" s="151" t="s">
        <v>217</v>
      </c>
      <c r="AO6" s="146" t="s">
        <v>215</v>
      </c>
      <c r="AP6" s="151" t="s">
        <v>217</v>
      </c>
      <c r="AQ6" s="311" t="s">
        <v>215</v>
      </c>
      <c r="AR6" s="257" t="s">
        <v>93</v>
      </c>
      <c r="AS6" s="96" t="s">
        <v>91</v>
      </c>
      <c r="AT6" s="118" t="s">
        <v>91</v>
      </c>
      <c r="AU6" s="97" t="s">
        <v>91</v>
      </c>
      <c r="AV6" s="118" t="s">
        <v>93</v>
      </c>
      <c r="AW6" s="118" t="s">
        <v>91</v>
      </c>
      <c r="AX6" s="118" t="s">
        <v>91</v>
      </c>
      <c r="AY6" s="160" t="s">
        <v>91</v>
      </c>
      <c r="AZ6" s="161" t="s">
        <v>217</v>
      </c>
      <c r="BA6" s="162" t="s">
        <v>215</v>
      </c>
      <c r="BB6" s="159" t="s">
        <v>93</v>
      </c>
      <c r="BC6" s="118" t="s">
        <v>93</v>
      </c>
      <c r="BD6" s="118" t="s">
        <v>93</v>
      </c>
      <c r="BE6" s="301" t="s">
        <v>91</v>
      </c>
    </row>
    <row r="7" spans="1:58">
      <c r="A7" s="371" t="s">
        <v>45</v>
      </c>
      <c r="B7" s="129">
        <f>'Nutrient Composition'!B16</f>
        <v>94.325000000000003</v>
      </c>
      <c r="C7" s="129">
        <f>(B7*'ADC''s, HSB'!C7)/100</f>
        <v>94.325000000000003</v>
      </c>
      <c r="D7" s="196" t="s">
        <v>208</v>
      </c>
      <c r="E7" s="193" t="s">
        <v>212</v>
      </c>
      <c r="F7" s="158">
        <f>'Nutrient Composition'!D16</f>
        <v>72.16326530612244</v>
      </c>
      <c r="G7" s="129">
        <f>(F7*'ADC''s, HSB'!E7)/100</f>
        <v>72.16326530612244</v>
      </c>
      <c r="H7" s="128">
        <f>'Nutrient Composition'!E16</f>
        <v>5212.4993373972957</v>
      </c>
      <c r="I7" s="128">
        <f>(H7*'ADC''s, HSB'!F7)/100</f>
        <v>5212.4993373972957</v>
      </c>
      <c r="J7" s="129">
        <f>'Nutrient Composition'!F16</f>
        <v>3.0744765438642987</v>
      </c>
      <c r="K7" s="129">
        <f>(J7*'ADC''s, HSB'!G7)/100</f>
        <v>3.0744765438642987</v>
      </c>
      <c r="L7" s="158">
        <f>'Nutrient Composition'!G16</f>
        <v>6.7532467532467528</v>
      </c>
      <c r="M7" s="129">
        <f>(L7*'ADC''s, HSB'!H7)/100</f>
        <v>6.7307137948419147</v>
      </c>
      <c r="N7" s="158">
        <f>'Nutrient Composition'!H16</f>
        <v>8.0466472303206995</v>
      </c>
      <c r="O7" s="129">
        <f>(N7*'ADC''s, HSB'!I7)/100</f>
        <v>8.0207401158806064</v>
      </c>
      <c r="P7" s="182">
        <f>'Nutrient Composition'!I16</f>
        <v>13.029419560031803</v>
      </c>
      <c r="Q7" s="13">
        <f>(P7*'ADC''s, HSB'!J7)/100</f>
        <v>13.029419560031805</v>
      </c>
      <c r="R7" s="182">
        <f>'Nutrient Composition'!J16</f>
        <v>3.0214683275907768</v>
      </c>
      <c r="S7" s="13">
        <f>(R7*'ADC''s, HSB'!K7)/100</f>
        <v>3.0214683275907763</v>
      </c>
      <c r="T7" s="182">
        <f>'Nutrient Composition'!K16</f>
        <v>1.8128809965544659</v>
      </c>
      <c r="U7" s="13">
        <f>(T7*'ADC''s, HSB'!L7)/100</f>
        <v>1.8128809965544659</v>
      </c>
      <c r="V7" s="182">
        <f>'Nutrient Composition'!L16</f>
        <v>3.3925258415054333</v>
      </c>
      <c r="W7" s="13">
        <f>(V7*'ADC''s, HSB'!M7)/100</f>
        <v>3.0753008245754772</v>
      </c>
      <c r="X7" s="182">
        <f>'Nutrient Composition'!M16</f>
        <v>5.6506758547574876</v>
      </c>
      <c r="Y7" s="13">
        <f>(X7*'ADC''s, HSB'!N7)/100</f>
        <v>5.5346479553793264</v>
      </c>
      <c r="Z7" s="182">
        <f>'Nutrient Composition'!N16</f>
        <v>4.2830638749006091</v>
      </c>
      <c r="AA7" s="13">
        <f>(Z7*'ADC''s, HSB'!O7)/100</f>
        <v>4.257941970040136</v>
      </c>
      <c r="AB7" s="182">
        <f>'Nutrient Composition'!O16</f>
        <v>1.0177577524516299</v>
      </c>
      <c r="AC7" s="13">
        <f>(AB7*'ADC''s, HSB'!P7)/100</f>
        <v>1.0177577524516299</v>
      </c>
      <c r="AD7" s="182">
        <f>'Nutrient Composition'!P16</f>
        <v>3.8377948582030212</v>
      </c>
      <c r="AE7" s="13">
        <f>(AD7*'ADC''s, HSB'!Q7)/100</f>
        <v>3.7236982491317434</v>
      </c>
      <c r="AF7" s="182">
        <f>'Nutrient Composition'!Q16</f>
        <v>3.7953882851842033</v>
      </c>
      <c r="AG7" s="196" t="s">
        <v>208</v>
      </c>
      <c r="AH7" s="182">
        <f>'Nutrient Composition'!R16</f>
        <v>3.9226080042406575</v>
      </c>
      <c r="AI7" s="13">
        <f>(AH7*'ADC''s, HSB'!R7)/100</f>
        <v>3.9226080042406575</v>
      </c>
      <c r="AJ7" s="182">
        <f>'Nutrient Composition'!S16</f>
        <v>3.0532732573548897</v>
      </c>
      <c r="AK7" s="13">
        <f>(AJ7*'ADC''s, HSB'!S7)/100</f>
        <v>3.0532732573548897</v>
      </c>
      <c r="AL7" s="182">
        <f>'Nutrient Composition'!T16</f>
        <v>2.947256824807845</v>
      </c>
      <c r="AM7" s="13">
        <f>(AL7*'ADC''s, HSB'!T7)/100</f>
        <v>2.8522049437863783</v>
      </c>
      <c r="AN7" s="182">
        <f>'Nutrient Composition'!U16</f>
        <v>3.5303472038165915</v>
      </c>
      <c r="AO7" s="13">
        <f>(AN7*'ADC''s, HSB'!U7)/100</f>
        <v>3.29774377316489</v>
      </c>
      <c r="AP7" s="182">
        <f>'Nutrient Composition'!V16</f>
        <v>71.168831168831176</v>
      </c>
      <c r="AQ7" s="13">
        <f>(AP7*'ADC''s, HSB'!V7)/100</f>
        <v>69.962141535815917</v>
      </c>
      <c r="AR7" s="406" t="s">
        <v>212</v>
      </c>
      <c r="AS7" s="407" t="s">
        <v>212</v>
      </c>
      <c r="AT7" s="408" t="s">
        <v>212</v>
      </c>
      <c r="AU7" s="409" t="s">
        <v>212</v>
      </c>
      <c r="AV7" s="408" t="s">
        <v>212</v>
      </c>
      <c r="AW7" s="408" t="s">
        <v>212</v>
      </c>
      <c r="AX7" s="408" t="s">
        <v>212</v>
      </c>
      <c r="AY7" s="408" t="s">
        <v>212</v>
      </c>
      <c r="AZ7" s="410" t="s">
        <v>212</v>
      </c>
      <c r="BA7" s="411" t="s">
        <v>212</v>
      </c>
      <c r="BB7" s="408" t="s">
        <v>212</v>
      </c>
      <c r="BC7" s="408" t="s">
        <v>212</v>
      </c>
      <c r="BD7" s="408" t="s">
        <v>212</v>
      </c>
      <c r="BE7" s="412" t="s">
        <v>212</v>
      </c>
    </row>
    <row r="8" spans="1:58">
      <c r="A8" s="371" t="s">
        <v>46</v>
      </c>
      <c r="B8" s="51">
        <f>'Nutrient Composition'!B18</f>
        <v>93.41</v>
      </c>
      <c r="C8" s="129">
        <f>(B8*'ADC''s, HSB'!C8)/100</f>
        <v>93.41</v>
      </c>
      <c r="D8" s="197" t="s">
        <v>212</v>
      </c>
      <c r="E8" s="195" t="s">
        <v>212</v>
      </c>
      <c r="F8" s="147">
        <f>'Nutrient Composition'!D18</f>
        <v>83.265175034792861</v>
      </c>
      <c r="G8" s="129">
        <f>(F8*'ADC''s, HSB'!E8)/100</f>
        <v>83.265175034792861</v>
      </c>
      <c r="H8" s="55">
        <f>'Nutrient Composition'!E18</f>
        <v>5822.7705813082121</v>
      </c>
      <c r="I8" s="128">
        <f>(H8*'ADC''s, HSB'!F8)/100</f>
        <v>5822.7705813082121</v>
      </c>
      <c r="J8" s="51">
        <f>'Nutrient Composition'!F18</f>
        <v>2.1196873996360135</v>
      </c>
      <c r="K8" s="129">
        <f>(J8*'ADC''s, HSB'!G8)/100</f>
        <v>2.1196873996360135</v>
      </c>
      <c r="L8" s="147">
        <f>'Nutrient Composition'!G18</f>
        <v>3.5863397923134572</v>
      </c>
      <c r="M8" s="129">
        <f>(L8*'ADC''s, HSB'!H8)/100</f>
        <v>3.5385676749299591</v>
      </c>
      <c r="N8" s="147">
        <f>'Nutrient Composition'!H18</f>
        <v>2.6335510116689864</v>
      </c>
      <c r="O8" s="129">
        <f>(N8*'ADC''s, HSB'!I8)/100</f>
        <v>2.6335510116689864</v>
      </c>
      <c r="P8" s="394">
        <f>'Nutrient Composition'!I18</f>
        <v>29.975377368590088</v>
      </c>
      <c r="Q8" s="13">
        <f>(P8*'ADC''s, HSB'!J8)/100</f>
        <v>29.975377368590088</v>
      </c>
      <c r="R8" s="394">
        <f>'Nutrient Composition'!J18</f>
        <v>2.7191949470078152</v>
      </c>
      <c r="S8" s="13">
        <f>(R8*'ADC''s, HSB'!K8)/100</f>
        <v>2.7191949470078152</v>
      </c>
      <c r="T8" s="394">
        <f>'Nutrient Composition'!K18</f>
        <v>1.7449951825286372</v>
      </c>
      <c r="U8" s="13">
        <f>(T8*'ADC''s, HSB'!L8)/100</f>
        <v>1.7449951825286372</v>
      </c>
      <c r="V8" s="394">
        <f>'Nutrient Composition'!L18</f>
        <v>3.2544695428754955</v>
      </c>
      <c r="W8" s="13">
        <f>(V8*'ADC''s, HSB'!M8)/100</f>
        <v>2.9403818631601353</v>
      </c>
      <c r="X8" s="394">
        <f>'Nutrient Composition'!M18</f>
        <v>5.866609570709775</v>
      </c>
      <c r="Y8" s="13">
        <f>(X8*'ADC''s, HSB'!N8)/100</f>
        <v>5.8517606472546353</v>
      </c>
      <c r="Z8" s="394">
        <f>'Nutrient Composition'!N18</f>
        <v>1.295364521999786</v>
      </c>
      <c r="AA8" s="13">
        <f>(Z8*'ADC''s, HSB'!O8)/100</f>
        <v>1.295364521999786</v>
      </c>
      <c r="AB8" s="394">
        <f>'Nutrient Composition'!O18</f>
        <v>1.5522963280162725</v>
      </c>
      <c r="AC8" s="13">
        <f>(AB8*'ADC''s, HSB'!P8)/100</f>
        <v>1.5522963280162725</v>
      </c>
      <c r="AD8" s="394">
        <f>'Nutrient Composition'!P18</f>
        <v>4.2929022588587946</v>
      </c>
      <c r="AE8" s="13">
        <f>(AD8*'ADC''s, HSB'!Q8)/100</f>
        <v>4.2929022588587946</v>
      </c>
      <c r="AF8" s="394">
        <f>'Nutrient Composition'!Q18</f>
        <v>11.155122577882455</v>
      </c>
      <c r="AG8" s="197" t="s">
        <v>212</v>
      </c>
      <c r="AH8" s="394">
        <f>'Nutrient Composition'!R18</f>
        <v>4.1109088962637834</v>
      </c>
      <c r="AI8" s="13">
        <f>(AH8*'ADC''s, HSB'!R8)/100</f>
        <v>4.1109088962637834</v>
      </c>
      <c r="AJ8" s="394">
        <f>'Nutrient Composition'!S18</f>
        <v>2.3016807622310247</v>
      </c>
      <c r="AK8" s="13">
        <f>(AJ8*'ADC''s, HSB'!S8)/100</f>
        <v>2.3016807622310247</v>
      </c>
      <c r="AL8" s="394">
        <f>'Nutrient Composition'!T18</f>
        <v>2.8690718338507657</v>
      </c>
      <c r="AM8" s="13">
        <f>(AL8*'ADC''s, HSB'!T8)/100</f>
        <v>2.7686425456219701</v>
      </c>
      <c r="AN8" s="394">
        <f>'Nutrient Composition'!U18</f>
        <v>3.5756343003961035</v>
      </c>
      <c r="AO8" s="13">
        <f>(AN8*'ADC''s, HSB'!U8)/100</f>
        <v>3.4082551641764001</v>
      </c>
      <c r="AP8" s="394">
        <f>'Nutrient Composition'!V18</f>
        <v>83.053206294829266</v>
      </c>
      <c r="AQ8" s="13">
        <f>(AP8*'ADC''s, HSB'!V8)/100</f>
        <v>81.978074541611562</v>
      </c>
      <c r="AR8" s="253" t="s">
        <v>212</v>
      </c>
      <c r="AS8" s="127" t="s">
        <v>212</v>
      </c>
      <c r="AT8" s="38" t="s">
        <v>212</v>
      </c>
      <c r="AU8" s="38" t="s">
        <v>212</v>
      </c>
      <c r="AV8" s="20" t="s">
        <v>212</v>
      </c>
      <c r="AW8" s="38" t="s">
        <v>212</v>
      </c>
      <c r="AX8" s="303" t="s">
        <v>212</v>
      </c>
      <c r="AY8" s="38" t="s">
        <v>212</v>
      </c>
      <c r="AZ8" s="163" t="s">
        <v>212</v>
      </c>
      <c r="BA8" s="349" t="s">
        <v>212</v>
      </c>
      <c r="BB8" s="20" t="s">
        <v>212</v>
      </c>
      <c r="BC8" s="20" t="s">
        <v>212</v>
      </c>
      <c r="BD8" s="20" t="s">
        <v>212</v>
      </c>
      <c r="BE8" s="304" t="s">
        <v>212</v>
      </c>
      <c r="BF8" s="52"/>
    </row>
    <row r="9" spans="1:58">
      <c r="A9" s="371" t="s">
        <v>180</v>
      </c>
      <c r="B9" s="51">
        <f>'Nutrient Composition'!B19</f>
        <v>92.424999999999997</v>
      </c>
      <c r="C9" s="129">
        <f>(B9*'ADC''s, HSB'!C9)/100</f>
        <v>92.424999999999997</v>
      </c>
      <c r="D9" s="197" t="s">
        <v>212</v>
      </c>
      <c r="E9" s="195" t="s">
        <v>212</v>
      </c>
      <c r="F9" s="147">
        <f>'Nutrient Composition'!D19</f>
        <v>84.738977549364336</v>
      </c>
      <c r="G9" s="129">
        <f>(F9*'ADC''s, HSB'!E9)/100</f>
        <v>79.602934289667871</v>
      </c>
      <c r="H9" s="55">
        <f>'Nutrient Composition'!E19</f>
        <v>6067.5682986205029</v>
      </c>
      <c r="I9" s="128">
        <f>(H9*'ADC''s, HSB'!F9)/100</f>
        <v>6067.5682986205029</v>
      </c>
      <c r="J9" s="51">
        <f>'Nutrient Composition'!F19</f>
        <v>4.3386529618609684</v>
      </c>
      <c r="K9" s="129">
        <f>(J9*'ADC''s, HSB'!G9)/100</f>
        <v>3.7732716881216457</v>
      </c>
      <c r="L9" s="147">
        <f>'Nutrient Composition'!G19</f>
        <v>8.9477955098728685</v>
      </c>
      <c r="M9" s="129">
        <f>(L9*'ADC''s, HSB'!H9)/100</f>
        <v>8.4884941545893078</v>
      </c>
      <c r="N9" s="147">
        <f>'Nutrient Composition'!H19</f>
        <v>8.9477955098728685</v>
      </c>
      <c r="O9" s="129">
        <f>(N9*'ADC''s, HSB'!I9)/100</f>
        <v>8.5300138548703401</v>
      </c>
      <c r="P9" s="394">
        <f>'Nutrient Composition'!I19</f>
        <v>12.875304300784419</v>
      </c>
      <c r="Q9" s="13">
        <f>(P9*'ADC''s, HSB'!J9)/100</f>
        <v>12.087679715767445</v>
      </c>
      <c r="R9" s="394">
        <f>'Nutrient Composition'!J19</f>
        <v>3.3540708682715716</v>
      </c>
      <c r="S9" s="13">
        <f>(R9*'ADC''s, HSB'!K9)/100</f>
        <v>3.3540708682715716</v>
      </c>
      <c r="T9" s="394">
        <f>'Nutrient Composition'!K19</f>
        <v>1.8717879361644576</v>
      </c>
      <c r="U9" s="13">
        <f>(T9*'ADC''s, HSB'!L9)/100</f>
        <v>1.5412039869392373</v>
      </c>
      <c r="V9" s="394">
        <f>'Nutrient Composition'!L19</f>
        <v>3.6137408709764673</v>
      </c>
      <c r="W9" s="13">
        <f>(V9*'ADC''s, HSB'!M9)/100</f>
        <v>2.433584863121343</v>
      </c>
      <c r="X9" s="394">
        <f>'Nutrient Composition'!M19</f>
        <v>6.9894509061401138</v>
      </c>
      <c r="Y9" s="13">
        <f>(X9*'ADC''s, HSB'!N9)/100</f>
        <v>5.826746147663779</v>
      </c>
      <c r="Z9" s="394">
        <f>'Nutrient Composition'!N19</f>
        <v>2.7481741952934811</v>
      </c>
      <c r="AA9" s="13">
        <f>(Z9*'ADC''s, HSB'!O9)/100</f>
        <v>2.6561736664260684</v>
      </c>
      <c r="AB9" s="394">
        <f>'Nutrient Composition'!O19</f>
        <v>1.915066269948607</v>
      </c>
      <c r="AC9" s="13">
        <f>(AB9*'ADC''s, HSB'!P9)/100</f>
        <v>1.2518514759586343</v>
      </c>
      <c r="AD9" s="394">
        <f>'Nutrient Composition'!P19</f>
        <v>4.717338382472275</v>
      </c>
      <c r="AE9" s="13">
        <f>(AD9*'ADC''s, HSB'!Q9)/100</f>
        <v>4.0018122499447273</v>
      </c>
      <c r="AF9" s="394">
        <f>'Nutrient Composition'!Q19</f>
        <v>3.8084933730051391</v>
      </c>
      <c r="AG9" s="197" t="s">
        <v>212</v>
      </c>
      <c r="AH9" s="394">
        <f>'Nutrient Composition'!R19</f>
        <v>3.7760346226670274</v>
      </c>
      <c r="AI9" s="13">
        <f>(AH9*'ADC''s, HSB'!R9)/100</f>
        <v>3.7380163269508877</v>
      </c>
      <c r="AJ9" s="394">
        <f>'Nutrient Composition'!S19</f>
        <v>3.0619421152285637</v>
      </c>
      <c r="AK9" s="13">
        <f>(AJ9*'ADC''s, HSB'!S9)/100</f>
        <v>2.9980629388122271</v>
      </c>
      <c r="AL9" s="394">
        <f>'Nutrient Composition'!T19</f>
        <v>4.7822558831484985</v>
      </c>
      <c r="AM9" s="13">
        <f>(AL9*'ADC''s, HSB'!T9)/100</f>
        <v>3.9844570987015118</v>
      </c>
      <c r="AN9" s="394">
        <f>'Nutrient Composition'!U19</f>
        <v>4.9229104679469842</v>
      </c>
      <c r="AO9" s="13">
        <f>(AN9*'ADC''s, HSB'!U9)/100</f>
        <v>3.5743523345661701</v>
      </c>
      <c r="AP9" s="394">
        <f>'Nutrient Composition'!V19</f>
        <v>80.670814173654293</v>
      </c>
      <c r="AQ9" s="13">
        <f>(AP9*'ADC''s, HSB'!V9)/100</f>
        <v>70.117942505892543</v>
      </c>
      <c r="AR9" s="253" t="s">
        <v>212</v>
      </c>
      <c r="AS9" s="127" t="s">
        <v>212</v>
      </c>
      <c r="AT9" s="38" t="s">
        <v>212</v>
      </c>
      <c r="AU9" s="38" t="s">
        <v>212</v>
      </c>
      <c r="AV9" s="20" t="s">
        <v>212</v>
      </c>
      <c r="AW9" s="38" t="s">
        <v>212</v>
      </c>
      <c r="AX9" s="303" t="s">
        <v>212</v>
      </c>
      <c r="AY9" s="38" t="s">
        <v>212</v>
      </c>
      <c r="AZ9" s="163" t="s">
        <v>212</v>
      </c>
      <c r="BA9" s="349" t="s">
        <v>212</v>
      </c>
      <c r="BB9" s="20" t="s">
        <v>212</v>
      </c>
      <c r="BC9" s="20" t="s">
        <v>212</v>
      </c>
      <c r="BD9" s="20" t="s">
        <v>212</v>
      </c>
      <c r="BE9" s="304" t="s">
        <v>212</v>
      </c>
      <c r="BF9" s="52"/>
    </row>
    <row r="10" spans="1:58">
      <c r="A10" s="371" t="s">
        <v>181</v>
      </c>
      <c r="B10" s="51">
        <f>'Nutrient Composition'!B20</f>
        <v>91.034999999999997</v>
      </c>
      <c r="C10" s="129">
        <f>(B10*'ADC''s, HSB'!C10)/100</f>
        <v>74.056706327315965</v>
      </c>
      <c r="D10" s="197" t="s">
        <v>212</v>
      </c>
      <c r="E10" s="195" t="s">
        <v>212</v>
      </c>
      <c r="F10" s="147">
        <f>'Nutrient Composition'!D20</f>
        <v>30.461910254297798</v>
      </c>
      <c r="G10" s="129">
        <f>(F10*'ADC''s, HSB'!E10)/100</f>
        <v>27.693316100065466</v>
      </c>
      <c r="H10" s="55">
        <f>'Nutrient Composition'!E20</f>
        <v>5055.5280935903775</v>
      </c>
      <c r="I10" s="128">
        <f>(H10*'ADC''s, HSB'!F10)/100</f>
        <v>3977.5221951304384</v>
      </c>
      <c r="J10" s="51">
        <f>'Nutrient Composition'!F20</f>
        <v>0.9556763882023398</v>
      </c>
      <c r="K10" s="129">
        <f>(J10*'ADC''s, HSB'!G10)/100</f>
        <v>0.59100053814894127</v>
      </c>
      <c r="L10" s="147">
        <f>'Nutrient Composition'!G20</f>
        <v>2.1200637117592134</v>
      </c>
      <c r="M10" s="129">
        <f>(L10*'ADC''s, HSB'!H10)/100</f>
        <v>1.9716555148818424</v>
      </c>
      <c r="N10" s="147">
        <f>'Nutrient Composition'!H20</f>
        <v>1.7762399077277971</v>
      </c>
      <c r="O10" s="129">
        <f>(N10*'ADC''s, HSB'!I10)/100</f>
        <v>1.7762399077277971</v>
      </c>
      <c r="P10" s="394">
        <f>'Nutrient Composition'!I20</f>
        <v>6.0723897402098093</v>
      </c>
      <c r="Q10" s="13">
        <f>(P10*'ADC''s, HSB'!J10)/100</f>
        <v>6.0723897402098093</v>
      </c>
      <c r="R10" s="394">
        <f>'Nutrient Composition'!J20</f>
        <v>0.93260833745262806</v>
      </c>
      <c r="S10" s="13">
        <f>(R10*'ADC''s, HSB'!K10)/100</f>
        <v>0.83436001181300379</v>
      </c>
      <c r="T10" s="394">
        <f>'Nutrient Composition'!K20</f>
        <v>0.59427692645685726</v>
      </c>
      <c r="U10" s="13">
        <f>(T10*'ADC''s, HSB'!L10)/100</f>
        <v>0.58102765216796814</v>
      </c>
      <c r="V10" s="394">
        <f>'Nutrient Composition'!L20</f>
        <v>1.1017740429505134</v>
      </c>
      <c r="W10" s="13">
        <f>(V10*'ADC''s, HSB'!M10)/100</f>
        <v>0.63659777234541304</v>
      </c>
      <c r="X10" s="394">
        <f>'Nutrient Composition'!M20</f>
        <v>1.9487010490470698</v>
      </c>
      <c r="Y10" s="13">
        <f>(X10*'ADC''s, HSB'!N10)/100</f>
        <v>1.618372406665147</v>
      </c>
      <c r="Z10" s="394">
        <f>'Nutrient Composition'!N20</f>
        <v>1.000714011094634</v>
      </c>
      <c r="AA10" s="13">
        <f>(Z10*'ADC''s, HSB'!O10)/100</f>
        <v>0.74619149190250411</v>
      </c>
      <c r="AB10" s="394">
        <f>'Nutrient Composition'!O20</f>
        <v>0.38446751249519412</v>
      </c>
      <c r="AC10" s="13">
        <f>(AB10*'ADC''s, HSB'!P10)/100</f>
        <v>0.22854937929970587</v>
      </c>
      <c r="AD10" s="394">
        <f>'Nutrient Composition'!P20</f>
        <v>1.5873015873015874</v>
      </c>
      <c r="AE10" s="13">
        <f>(AD10*'ADC''s, HSB'!Q10)/100</f>
        <v>1.2344310324367749</v>
      </c>
      <c r="AF10" s="394">
        <f>'Nutrient Composition'!Q20</f>
        <v>2.9867633327840939</v>
      </c>
      <c r="AG10" s="197" t="s">
        <v>212</v>
      </c>
      <c r="AH10" s="394">
        <f>'Nutrient Composition'!R20</f>
        <v>1.0281759762728622</v>
      </c>
      <c r="AI10" s="13">
        <f>(AH10*'ADC''s, HSB'!R10)/100</f>
        <v>1.0281759762728622</v>
      </c>
      <c r="AJ10" s="394">
        <f>'Nutrient Composition'!S20</f>
        <v>0.93919920909540289</v>
      </c>
      <c r="AK10" s="13">
        <f>(AJ10*'ADC''s, HSB'!S10)/100</f>
        <v>0.939199209095403</v>
      </c>
      <c r="AL10" s="394">
        <f>'Nutrient Composition'!T20</f>
        <v>1.0424561981655407</v>
      </c>
      <c r="AM10" s="13">
        <f>(AL10*'ADC''s, HSB'!T10)/100</f>
        <v>0.86903723396312715</v>
      </c>
      <c r="AN10" s="394">
        <f>'Nutrient Composition'!U20</f>
        <v>1.3774921733399241</v>
      </c>
      <c r="AO10" s="13">
        <f>(AN10*'ADC''s, HSB'!U10)/100</f>
        <v>0.95761327097290305</v>
      </c>
      <c r="AP10" s="394">
        <f>'Nutrient Composition'!V20</f>
        <v>25.84830010435547</v>
      </c>
      <c r="AQ10" s="13">
        <f>(AP10*'ADC''s, HSB'!V10)/100</f>
        <v>21.498349867920016</v>
      </c>
      <c r="AR10" s="253" t="s">
        <v>212</v>
      </c>
      <c r="AS10" s="20" t="s">
        <v>212</v>
      </c>
      <c r="AT10" s="38" t="s">
        <v>212</v>
      </c>
      <c r="AU10" s="38" t="s">
        <v>212</v>
      </c>
      <c r="AV10" s="20" t="s">
        <v>212</v>
      </c>
      <c r="AW10" s="38" t="s">
        <v>212</v>
      </c>
      <c r="AX10" s="303" t="s">
        <v>212</v>
      </c>
      <c r="AY10" s="38" t="s">
        <v>212</v>
      </c>
      <c r="AZ10" s="163" t="s">
        <v>212</v>
      </c>
      <c r="BA10" s="349" t="s">
        <v>212</v>
      </c>
      <c r="BB10" s="20" t="s">
        <v>212</v>
      </c>
      <c r="BC10" s="20" t="s">
        <v>212</v>
      </c>
      <c r="BD10" s="20" t="s">
        <v>212</v>
      </c>
      <c r="BE10" s="304" t="s">
        <v>212</v>
      </c>
      <c r="BF10" s="52"/>
    </row>
    <row r="11" spans="1:58">
      <c r="A11" s="371" t="s">
        <v>50</v>
      </c>
      <c r="B11" s="51">
        <f>'Nutrient Composition'!B22</f>
        <v>88.584999999999994</v>
      </c>
      <c r="C11" s="129">
        <f>(B11*'ADC''s, HSB'!C11)/100</f>
        <v>35.167148927106943</v>
      </c>
      <c r="D11" s="197" t="s">
        <v>212</v>
      </c>
      <c r="E11" s="195" t="s">
        <v>212</v>
      </c>
      <c r="F11" s="147">
        <f>'Nutrient Composition'!D22</f>
        <v>46.79347519331715</v>
      </c>
      <c r="G11" s="129">
        <f>(F11*'ADC''s, HSB'!E11)/100</f>
        <v>35.328326092937552</v>
      </c>
      <c r="H11" s="55">
        <f>'Nutrient Composition'!E22</f>
        <v>4976.2036462154992</v>
      </c>
      <c r="I11" s="128">
        <f>(H11*'ADC''s, HSB'!F11)/100</f>
        <v>3069.5664802125398</v>
      </c>
      <c r="J11" s="51">
        <f>'Nutrient Composition'!F22</f>
        <v>1.7384433030422757</v>
      </c>
      <c r="K11" s="129">
        <f>(J11*'ADC''s, HSB'!G11)/100</f>
        <v>1.572588079034996</v>
      </c>
      <c r="L11" s="147">
        <f>'Nutrient Composition'!G22</f>
        <v>6.9424846192922054</v>
      </c>
      <c r="M11" s="129">
        <f>(L11*'ADC''s, HSB'!H11)/100</f>
        <v>6.8171024742958446</v>
      </c>
      <c r="N11" s="147">
        <f>'Nutrient Composition'!H22</f>
        <v>6.9424846192922054</v>
      </c>
      <c r="O11" s="129">
        <f>(N11*'ADC''s, HSB'!I11)/100</f>
        <v>6.9424846192922054</v>
      </c>
      <c r="P11" s="394">
        <f>'Nutrient Composition'!I22</f>
        <v>7.8794378280747308</v>
      </c>
      <c r="Q11" s="13">
        <f>(P11*'ADC''s, HSB'!J11)/100</f>
        <v>7.8794378280747308</v>
      </c>
      <c r="R11" s="394">
        <f>'Nutrient Composition'!J22</f>
        <v>1.8174634531805611</v>
      </c>
      <c r="S11" s="13">
        <f>(R11*'ADC''s, HSB'!K11)/100</f>
        <v>1.8174634531805611</v>
      </c>
      <c r="T11" s="394">
        <f>'Nutrient Composition'!K22</f>
        <v>1.2643224022125643</v>
      </c>
      <c r="U11" s="13">
        <f>(T11*'ADC''s, HSB'!L11)/100</f>
        <v>1.2365446533887399</v>
      </c>
      <c r="V11" s="394">
        <f>'Nutrient Composition'!L22</f>
        <v>1.5691144098888072</v>
      </c>
      <c r="W11" s="13">
        <f>(V11*'ADC''s, HSB'!M11)/100</f>
        <v>1.3226336073264124</v>
      </c>
      <c r="X11" s="394">
        <f>'Nutrient Composition'!M22</f>
        <v>2.8108596263475758</v>
      </c>
      <c r="Y11" s="13">
        <f>(X11*'ADC''s, HSB'!N11)/100</f>
        <v>2.7067194191111446</v>
      </c>
      <c r="Z11" s="394">
        <f>'Nutrient Composition'!N22</f>
        <v>1.8739064175650504</v>
      </c>
      <c r="AA11" s="13">
        <f>(Z11*'ADC''s, HSB'!O11)/100</f>
        <v>1.8044113945200921</v>
      </c>
      <c r="AB11" s="394">
        <f>'Nutrient Composition'!O22</f>
        <v>0.58700682959869055</v>
      </c>
      <c r="AC11" s="13">
        <f>(AB11*'ADC''s, HSB'!P11)/100</f>
        <v>0.42772882763511488</v>
      </c>
      <c r="AD11" s="394">
        <f>'Nutrient Composition'!P22</f>
        <v>2.6528193260710053</v>
      </c>
      <c r="AE11" s="13">
        <f>(AD11*'ADC''s, HSB'!Q11)/100</f>
        <v>2.3814313997398942</v>
      </c>
      <c r="AF11" s="394">
        <f>'Nutrient Composition'!Q22</f>
        <v>1.6707117457808884</v>
      </c>
      <c r="AG11" s="197" t="s">
        <v>212</v>
      </c>
      <c r="AH11" s="394">
        <f>'Nutrient Composition'!R22</f>
        <v>1.8739064175650504</v>
      </c>
      <c r="AI11" s="13">
        <f>(AH11*'ADC''s, HSB'!R11)/100</f>
        <v>1.8739064175650504</v>
      </c>
      <c r="AJ11" s="394">
        <f>'Nutrient Composition'!S22</f>
        <v>1.580403002765705</v>
      </c>
      <c r="AK11" s="13">
        <f>(AJ11*'ADC''s, HSB'!S11)/100</f>
        <v>1.580403002765705</v>
      </c>
      <c r="AL11" s="394">
        <f>'Nutrient Composition'!T22</f>
        <v>1.591691595642603</v>
      </c>
      <c r="AM11" s="13">
        <f>(AL11*'ADC''s, HSB'!T11)/100</f>
        <v>1.4929300568349453</v>
      </c>
      <c r="AN11" s="394">
        <f>'Nutrient Composition'!U22</f>
        <v>2.1674098323643958</v>
      </c>
      <c r="AO11" s="13">
        <f>(AN11*'ADC''s, HSB'!U11)/100</f>
        <v>2.0041643196652963</v>
      </c>
      <c r="AP11" s="394">
        <f>'Nutrient Composition'!V22</f>
        <v>44.962465428684325</v>
      </c>
      <c r="AQ11" s="13">
        <f>(AP11*'ADC''s, HSB'!V11)/100</f>
        <v>42.331681477860691</v>
      </c>
      <c r="AR11" s="253" t="s">
        <v>212</v>
      </c>
      <c r="AS11" s="20" t="s">
        <v>212</v>
      </c>
      <c r="AT11" s="38" t="s">
        <v>212</v>
      </c>
      <c r="AU11" s="38" t="s">
        <v>212</v>
      </c>
      <c r="AV11" s="20" t="s">
        <v>212</v>
      </c>
      <c r="AW11" s="38" t="s">
        <v>212</v>
      </c>
      <c r="AX11" s="303" t="s">
        <v>212</v>
      </c>
      <c r="AY11" s="38" t="s">
        <v>212</v>
      </c>
      <c r="AZ11" s="163" t="s">
        <v>212</v>
      </c>
      <c r="BA11" s="349" t="s">
        <v>212</v>
      </c>
      <c r="BB11" s="20" t="s">
        <v>212</v>
      </c>
      <c r="BC11" s="20" t="s">
        <v>212</v>
      </c>
      <c r="BD11" s="20" t="s">
        <v>212</v>
      </c>
      <c r="BE11" s="304" t="s">
        <v>212</v>
      </c>
      <c r="BF11" s="52"/>
    </row>
    <row r="12" spans="1:58">
      <c r="A12" s="371" t="s">
        <v>43</v>
      </c>
      <c r="B12" s="51">
        <f>'Nutrient Composition'!B23</f>
        <v>91.685000000000002</v>
      </c>
      <c r="C12" s="129">
        <f>(B12*'ADC''s, HSB'!C12)/100</f>
        <v>58.102404833543552</v>
      </c>
      <c r="D12" s="197" t="s">
        <v>212</v>
      </c>
      <c r="E12" s="195" t="s">
        <v>212</v>
      </c>
      <c r="F12" s="147">
        <f>'Nutrient Composition'!D23</f>
        <v>49.068004580901999</v>
      </c>
      <c r="G12" s="129">
        <f>(F12*'ADC''s, HSB'!E12)/100</f>
        <v>39.428521659004197</v>
      </c>
      <c r="H12" s="55">
        <f>'Nutrient Composition'!E23</f>
        <v>5010.7105851556953</v>
      </c>
      <c r="I12" s="128">
        <f>(H12*'ADC''s, HSB'!F12)/100</f>
        <v>3527.6711865432171</v>
      </c>
      <c r="J12" s="51">
        <f>'Nutrient Composition'!F23</f>
        <v>1.9196160767846431</v>
      </c>
      <c r="K12" s="129">
        <f>(J12*'ADC''s, HSB'!G12)/100</f>
        <v>1.9093840145351313</v>
      </c>
      <c r="L12" s="147">
        <f>'Nutrient Composition'!G23</f>
        <v>3.3920488629546814</v>
      </c>
      <c r="M12" s="129">
        <f>(L12*'ADC''s, HSB'!H12)/100</f>
        <v>3.3818881857597369</v>
      </c>
      <c r="N12" s="147">
        <f>'Nutrient Composition'!H23</f>
        <v>2.9994001199760048</v>
      </c>
      <c r="O12" s="129">
        <f>(N12*'ADC''s, HSB'!I12)/100</f>
        <v>2.9994001199760048</v>
      </c>
      <c r="P12" s="394">
        <f>'Nutrient Composition'!I23</f>
        <v>7.8856955881550963</v>
      </c>
      <c r="Q12" s="13">
        <f>(P12*'ADC''s, HSB'!J12)/100</f>
        <v>7.8856955881550963</v>
      </c>
      <c r="R12" s="394">
        <f>'Nutrient Composition'!J23</f>
        <v>2.1377542673283525</v>
      </c>
      <c r="S12" s="13">
        <f>(R12*'ADC''s, HSB'!K12)/100</f>
        <v>2.1377542673283525</v>
      </c>
      <c r="T12" s="394">
        <f>'Nutrient Composition'!K23</f>
        <v>1.1561324098816601</v>
      </c>
      <c r="U12" s="13">
        <f>(T12*'ADC''s, HSB'!L12)/100</f>
        <v>1.1561324098816601</v>
      </c>
      <c r="V12" s="394">
        <f>'Nutrient Composition'!L23</f>
        <v>1.8541746196215301</v>
      </c>
      <c r="W12" s="13">
        <f>(V12*'ADC''s, HSB'!M12)/100</f>
        <v>1.5533341288410656</v>
      </c>
      <c r="X12" s="394">
        <f>'Nutrient Composition'!M23</f>
        <v>3.1957244914653433</v>
      </c>
      <c r="Y12" s="13">
        <f>(X12*'ADC''s, HSB'!N12)/100</f>
        <v>3.1585590797563494</v>
      </c>
      <c r="Z12" s="394">
        <f>'Nutrient Composition'!N23</f>
        <v>2.3340786388176911</v>
      </c>
      <c r="AA12" s="13">
        <f>(Z12*'ADC''s, HSB'!O12)/100</f>
        <v>2.1547824503417452</v>
      </c>
      <c r="AB12" s="394">
        <f>'Nutrient Composition'!O23</f>
        <v>0.78529748595735394</v>
      </c>
      <c r="AC12" s="13">
        <f>(AB12*'ADC''s, HSB'!P12)/100</f>
        <v>0.6375288153315074</v>
      </c>
      <c r="AD12" s="394">
        <f>'Nutrient Composition'!P23</f>
        <v>1.8868953482030866</v>
      </c>
      <c r="AE12" s="13">
        <f>(AD12*'ADC''s, HSB'!Q12)/100</f>
        <v>1.7576073266602339</v>
      </c>
      <c r="AF12" s="394">
        <f>'Nutrient Composition'!Q23</f>
        <v>2.9557724818672626</v>
      </c>
      <c r="AG12" s="197" t="s">
        <v>212</v>
      </c>
      <c r="AH12" s="394">
        <f>'Nutrient Composition'!R23</f>
        <v>1.9523368053661994</v>
      </c>
      <c r="AI12" s="13">
        <f>(AH12*'ADC''s, HSB'!R12)/100</f>
        <v>1.8796848910689059</v>
      </c>
      <c r="AJ12" s="394">
        <f>'Nutrient Composition'!S23</f>
        <v>2.0177782625293124</v>
      </c>
      <c r="AK12" s="13">
        <f>(AJ12*'ADC''s, HSB'!S12)/100</f>
        <v>1.8984983451605939</v>
      </c>
      <c r="AL12" s="394">
        <f>'Nutrient Composition'!T23</f>
        <v>1.4615258766428532</v>
      </c>
      <c r="AM12" s="13">
        <f>(AL12*'ADC''s, HSB'!T12)/100</f>
        <v>1.3332588578313056</v>
      </c>
      <c r="AN12" s="394">
        <f>'Nutrient Composition'!U23</f>
        <v>2.3667993673992473</v>
      </c>
      <c r="AO12" s="13">
        <f>(AN12*'ADC''s, HSB'!U12)/100</f>
        <v>2.038328108676811</v>
      </c>
      <c r="AP12" s="394">
        <f>'Nutrient Composition'!V23</f>
        <v>40.301030702950321</v>
      </c>
      <c r="AQ12" s="13">
        <f>(AP12*'ADC''s, HSB'!V12)/100</f>
        <v>38.04798009333804</v>
      </c>
      <c r="AR12" s="253" t="s">
        <v>212</v>
      </c>
      <c r="AS12" s="30" t="s">
        <v>212</v>
      </c>
      <c r="AT12" s="38" t="s">
        <v>212</v>
      </c>
      <c r="AU12" s="38" t="s">
        <v>212</v>
      </c>
      <c r="AV12" s="20" t="s">
        <v>212</v>
      </c>
      <c r="AW12" s="38" t="s">
        <v>212</v>
      </c>
      <c r="AX12" s="303" t="s">
        <v>212</v>
      </c>
      <c r="AY12" s="38" t="s">
        <v>212</v>
      </c>
      <c r="AZ12" s="163" t="s">
        <v>212</v>
      </c>
      <c r="BA12" s="349" t="s">
        <v>212</v>
      </c>
      <c r="BB12" s="20" t="s">
        <v>212</v>
      </c>
      <c r="BC12" s="20" t="s">
        <v>212</v>
      </c>
      <c r="BD12" s="20" t="s">
        <v>212</v>
      </c>
      <c r="BE12" s="304" t="s">
        <v>212</v>
      </c>
      <c r="BF12" s="52"/>
    </row>
    <row r="13" spans="1:58">
      <c r="A13" s="371" t="s">
        <v>51</v>
      </c>
      <c r="B13" s="51">
        <f>'Nutrient Composition'!B24</f>
        <v>93.87</v>
      </c>
      <c r="C13" s="129">
        <f>(B13*'ADC''s, HSB'!C13)/100</f>
        <v>56.346230327181658</v>
      </c>
      <c r="D13" s="197" t="s">
        <v>212</v>
      </c>
      <c r="E13" s="195" t="s">
        <v>212</v>
      </c>
      <c r="F13" s="147">
        <f>'Nutrient Composition'!D24</f>
        <v>27.535953978906996</v>
      </c>
      <c r="G13" s="129">
        <f>(F13*'ADC''s, HSB'!E13)/100</f>
        <v>18.218512472568687</v>
      </c>
      <c r="H13" s="55">
        <f>'Nutrient Composition'!E24</f>
        <v>4455.0974752317034</v>
      </c>
      <c r="I13" s="128">
        <f>(H13*'ADC''s, HSB'!F13)/100</f>
        <v>2458.2648517240341</v>
      </c>
      <c r="J13" s="51">
        <f>'Nutrient Composition'!F24</f>
        <v>1.0525194417811867</v>
      </c>
      <c r="K13" s="129">
        <f>(J13*'ADC''s, HSB'!G13)/100</f>
        <v>0.80071207945187917</v>
      </c>
      <c r="L13" s="147">
        <f>'Nutrient Composition'!G24</f>
        <v>3.1895174177053369</v>
      </c>
      <c r="M13" s="129">
        <f>(L13*'ADC''s, HSB'!H13)/100</f>
        <v>3.0002942896369067</v>
      </c>
      <c r="N13" s="147">
        <f>'Nutrient Composition'!H24</f>
        <v>2.2010226909555768</v>
      </c>
      <c r="O13" s="129">
        <f>(N13*'ADC''s, HSB'!I13)/100</f>
        <v>2.2010226909555768</v>
      </c>
      <c r="P13" s="394">
        <f>'Nutrient Composition'!I24</f>
        <v>3.9011398742942363</v>
      </c>
      <c r="Q13" s="13">
        <f>(P13*'ADC''s, HSB'!J13)/100</f>
        <v>3.9011398742942363</v>
      </c>
      <c r="R13" s="394">
        <f>'Nutrient Composition'!J24</f>
        <v>1.3976776392883774</v>
      </c>
      <c r="S13" s="13">
        <f>(R13*'ADC''s, HSB'!K13)/100</f>
        <v>1.3976776392883776</v>
      </c>
      <c r="T13" s="394">
        <f>'Nutrient Composition'!K24</f>
        <v>0.52732502396931924</v>
      </c>
      <c r="U13" s="13">
        <f>(T13*'ADC''s, HSB'!L13)/100</f>
        <v>0.52732502396931924</v>
      </c>
      <c r="V13" s="394">
        <f>'Nutrient Composition'!L24</f>
        <v>1.1558538404175986</v>
      </c>
      <c r="W13" s="13">
        <f>(V13*'ADC''s, HSB'!M13)/100</f>
        <v>0.8464568865155303</v>
      </c>
      <c r="X13" s="394">
        <f>'Nutrient Composition'!M24</f>
        <v>1.5480984340044741</v>
      </c>
      <c r="Y13" s="13">
        <f>(X13*'ADC''s, HSB'!N13)/100</f>
        <v>1.4405051116630776</v>
      </c>
      <c r="Z13" s="394">
        <f>'Nutrient Composition'!N24</f>
        <v>0.91403004154681999</v>
      </c>
      <c r="AA13" s="13">
        <f>(Z13*'ADC''s, HSB'!O13)/100</f>
        <v>0.82869709997718022</v>
      </c>
      <c r="AB13" s="394">
        <f>'Nutrient Composition'!O24</f>
        <v>0.38990092681367844</v>
      </c>
      <c r="AC13" s="13">
        <f>(AB13*'ADC''s, HSB'!P13)/100</f>
        <v>6.0237100090636514E-2</v>
      </c>
      <c r="AD13" s="394">
        <f>'Nutrient Composition'!P24</f>
        <v>1.255992329817833</v>
      </c>
      <c r="AE13" s="13">
        <f>(AD13*'ADC''s, HSB'!Q13)/100</f>
        <v>0.97007452381599324</v>
      </c>
      <c r="AF13" s="394">
        <f>'Nutrient Composition'!Q24</f>
        <v>0.87994034302759117</v>
      </c>
      <c r="AG13" s="197" t="s">
        <v>212</v>
      </c>
      <c r="AH13" s="394">
        <f>'Nutrient Composition'!R24</f>
        <v>1.1377436880792584</v>
      </c>
      <c r="AI13" s="13">
        <f>(AH13*'ADC''s, HSB'!R13)/100</f>
        <v>1.1377436880792584</v>
      </c>
      <c r="AJ13" s="394">
        <f>'Nutrient Composition'!S24</f>
        <v>0.99925428784489168</v>
      </c>
      <c r="AK13" s="13">
        <f>(AJ13*'ADC''s, HSB'!S13)/100</f>
        <v>0.99925428784489168</v>
      </c>
      <c r="AL13" s="394">
        <f>'Nutrient Composition'!T24</f>
        <v>0.76808351976137201</v>
      </c>
      <c r="AM13" s="13">
        <f>(AL13*'ADC''s, HSB'!T13)/100</f>
        <v>0.76808351976137201</v>
      </c>
      <c r="AN13" s="394">
        <f>'Nutrient Composition'!U24</f>
        <v>1.3358900607222755</v>
      </c>
      <c r="AO13" s="13">
        <f>(AN13*'ADC''s, HSB'!U13)/100</f>
        <v>1.1366427188217294</v>
      </c>
      <c r="AP13" s="394">
        <f>'Nutrient Composition'!V24</f>
        <v>22.653989560029824</v>
      </c>
      <c r="AQ13" s="13">
        <f>(AP13*'ADC''s, HSB'!V13)/100</f>
        <v>19.706847856430755</v>
      </c>
      <c r="AR13" s="253" t="s">
        <v>212</v>
      </c>
      <c r="AS13" s="30" t="s">
        <v>212</v>
      </c>
      <c r="AT13" s="38" t="s">
        <v>212</v>
      </c>
      <c r="AU13" s="38" t="s">
        <v>212</v>
      </c>
      <c r="AV13" s="20" t="s">
        <v>212</v>
      </c>
      <c r="AW13" s="20" t="s">
        <v>212</v>
      </c>
      <c r="AX13" s="303" t="s">
        <v>212</v>
      </c>
      <c r="AY13" s="38" t="s">
        <v>212</v>
      </c>
      <c r="AZ13" s="163" t="s">
        <v>212</v>
      </c>
      <c r="BA13" s="250" t="s">
        <v>212</v>
      </c>
      <c r="BB13" s="20" t="s">
        <v>212</v>
      </c>
      <c r="BC13" s="20" t="s">
        <v>212</v>
      </c>
      <c r="BD13" s="20" t="s">
        <v>212</v>
      </c>
      <c r="BE13" s="304" t="s">
        <v>212</v>
      </c>
      <c r="BF13" s="52"/>
    </row>
    <row r="14" spans="1:58">
      <c r="A14" s="371" t="s">
        <v>182</v>
      </c>
      <c r="B14" s="51">
        <f>'Nutrient Composition'!B28</f>
        <v>91.525000000000006</v>
      </c>
      <c r="C14" s="129">
        <f>(B14*'ADC''s, HSB'!C14)/100</f>
        <v>51.788587352976968</v>
      </c>
      <c r="D14" s="197" t="s">
        <v>212</v>
      </c>
      <c r="E14" s="195" t="s">
        <v>212</v>
      </c>
      <c r="F14" s="147">
        <f>'Nutrient Composition'!D28</f>
        <v>21.513247746517347</v>
      </c>
      <c r="G14" s="129">
        <f>(F14*'ADC''s, HSB'!E14)/100</f>
        <v>11.28236841269125</v>
      </c>
      <c r="H14" s="55">
        <f>'Nutrient Composition'!E28</f>
        <v>4685.605025949194</v>
      </c>
      <c r="I14" s="128">
        <f>(H14*'ADC''s, HSB'!F14)/100</f>
        <v>1914.1552965273931</v>
      </c>
      <c r="J14" s="51">
        <f>'Nutrient Composition'!F28</f>
        <v>0.9068560502594919</v>
      </c>
      <c r="K14" s="129">
        <f>(J14*'ADC''s, HSB'!G14)/100</f>
        <v>0.15933089273028392</v>
      </c>
      <c r="L14" s="147">
        <f>'Nutrient Composition'!G28</f>
        <v>1.2422835290904124</v>
      </c>
      <c r="M14" s="129">
        <f>(L14*'ADC''s, HSB'!H14)/100</f>
        <v>0.11626794386419609</v>
      </c>
      <c r="N14" s="147">
        <f>'Nutrient Composition'!H28</f>
        <v>1.338432122370937</v>
      </c>
      <c r="O14" s="129">
        <f>(N14*'ADC''s, HSB'!I14)/100</f>
        <v>1.1775613968131335</v>
      </c>
      <c r="P14" s="394">
        <f>'Nutrient Composition'!I28</f>
        <v>4.6042065009560238</v>
      </c>
      <c r="Q14" s="13">
        <f>(P14*'ADC''s, HSB'!J14)/100</f>
        <v>4.0298037054666889</v>
      </c>
      <c r="R14" s="394">
        <f>'Nutrient Composition'!J28</f>
        <v>0.74842939087680971</v>
      </c>
      <c r="S14" s="13">
        <f>(R14*'ADC''s, HSB'!K14)/100</f>
        <v>0.33957736164521096</v>
      </c>
      <c r="T14" s="394">
        <f>'Nutrient Composition'!K28</f>
        <v>0.45670581808249111</v>
      </c>
      <c r="U14" s="13">
        <f>(T14*'ADC''s, HSB'!L14)/100</f>
        <v>0.22443998461581835</v>
      </c>
      <c r="V14" s="394">
        <f>'Nutrient Composition'!L28</f>
        <v>0.8292816170445233</v>
      </c>
      <c r="W14" s="13">
        <f>(V14*'ADC''s, HSB'!M14)/100</f>
        <v>0.10698273226158184</v>
      </c>
      <c r="X14" s="394">
        <f>'Nutrient Composition'!M28</f>
        <v>1.6989893471729034</v>
      </c>
      <c r="Y14" s="13">
        <f>(X14*'ADC''s, HSB'!N14)/100</f>
        <v>0.82214193800113156</v>
      </c>
      <c r="Z14" s="394">
        <f>'Nutrient Composition'!N28</f>
        <v>0.67741054356733132</v>
      </c>
      <c r="AA14" s="13">
        <f>(Z14*'ADC''s, HSB'!O14)/100</f>
        <v>0.34414246690396538</v>
      </c>
      <c r="AB14" s="394">
        <f>'Nutrient Composition'!O28</f>
        <v>0.33214968587817534</v>
      </c>
      <c r="AC14" s="13">
        <f>(AB14*'ADC''s, HSB'!P14)/100</f>
        <v>7.2877384448301087E-3</v>
      </c>
      <c r="AD14" s="394">
        <f>'Nutrient Composition'!P28</f>
        <v>1.1974870254028955</v>
      </c>
      <c r="AE14" s="13">
        <f>(AD14*'ADC''s, HSB'!Q14)/100</f>
        <v>0.62830056956878466</v>
      </c>
      <c r="AF14" s="394">
        <f>'Nutrient Composition'!Q28</f>
        <v>2.1906582900846763</v>
      </c>
      <c r="AG14" s="197" t="s">
        <v>212</v>
      </c>
      <c r="AH14" s="394">
        <f>'Nutrient Composition'!R28</f>
        <v>0.75389237913138485</v>
      </c>
      <c r="AI14" s="13">
        <f>(AH14*'ADC''s, HSB'!R14)/100</f>
        <v>0.61154353615823664</v>
      </c>
      <c r="AJ14" s="394">
        <f>'Nutrient Composition'!S28</f>
        <v>0.71346626604752805</v>
      </c>
      <c r="AK14" s="13">
        <f>(AJ14*'ADC''s, HSB'!S14)/100</f>
        <v>0.53635028960869413</v>
      </c>
      <c r="AL14" s="394">
        <f>'Nutrient Composition'!T28</f>
        <v>0.79213329691341161</v>
      </c>
      <c r="AM14" s="13">
        <f>(AL14*'ADC''s, HSB'!T14)/100</f>
        <v>0.36714461667080478</v>
      </c>
      <c r="AN14" s="394">
        <f>'Nutrient Composition'!U28</f>
        <v>1.080579076754985</v>
      </c>
      <c r="AO14" s="13">
        <f>(AN14*'ADC''s, HSB'!U14)/100</f>
        <v>0.36556901977528322</v>
      </c>
      <c r="AP14" s="394">
        <f>'Nutrient Composition'!V28</f>
        <v>19.562960939633989</v>
      </c>
      <c r="AQ14" s="13">
        <f>(AP14*'ADC''s, HSB'!V14)/100</f>
        <v>9.1317021938102627</v>
      </c>
      <c r="AR14" s="253" t="s">
        <v>212</v>
      </c>
      <c r="AS14" s="127" t="s">
        <v>212</v>
      </c>
      <c r="AT14" s="38" t="s">
        <v>212</v>
      </c>
      <c r="AU14" s="38" t="s">
        <v>212</v>
      </c>
      <c r="AV14" s="20" t="s">
        <v>212</v>
      </c>
      <c r="AW14" s="20" t="s">
        <v>212</v>
      </c>
      <c r="AX14" s="303" t="s">
        <v>212</v>
      </c>
      <c r="AY14" s="38" t="s">
        <v>212</v>
      </c>
      <c r="AZ14" s="163" t="s">
        <v>212</v>
      </c>
      <c r="BA14" s="250" t="s">
        <v>212</v>
      </c>
      <c r="BB14" s="20" t="s">
        <v>212</v>
      </c>
      <c r="BC14" s="20" t="s">
        <v>212</v>
      </c>
      <c r="BD14" s="20" t="s">
        <v>212</v>
      </c>
      <c r="BE14" s="304" t="s">
        <v>212</v>
      </c>
      <c r="BF14" s="52"/>
    </row>
    <row r="15" spans="1:58">
      <c r="A15" s="371" t="s">
        <v>54</v>
      </c>
      <c r="B15" s="51">
        <f>'Nutrient Composition'!B29</f>
        <v>90.29</v>
      </c>
      <c r="C15" s="129">
        <f>(B15*'ADC''s, HSB'!C15)/100</f>
        <v>39.350183387841597</v>
      </c>
      <c r="D15" s="197" t="s">
        <v>212</v>
      </c>
      <c r="E15" s="195" t="s">
        <v>212</v>
      </c>
      <c r="F15" s="147">
        <f>'Nutrient Composition'!D29</f>
        <v>16.577694096799203</v>
      </c>
      <c r="G15" s="129">
        <f>(F15*'ADC''s, HSB'!E15)/100</f>
        <v>15.199758084737301</v>
      </c>
      <c r="H15" s="55">
        <f>'Nutrient Composition'!E29</f>
        <v>4663.650459630082</v>
      </c>
      <c r="I15" s="128">
        <f>(H15*'ADC''s, HSB'!F15)/100</f>
        <v>1675.7945273483961</v>
      </c>
      <c r="J15" s="51">
        <f>'Nutrient Composition'!F29</f>
        <v>0.48842618230147306</v>
      </c>
      <c r="K15" s="129">
        <f>(J15*'ADC''s, HSB'!G15)/100</f>
        <v>0.38819316318833041</v>
      </c>
      <c r="L15" s="147">
        <f>'Nutrient Composition'!G29</f>
        <v>0.87606600952486446</v>
      </c>
      <c r="M15" s="129">
        <f>(L15*'ADC''s, HSB'!H15)/100</f>
        <v>0.73998895207673843</v>
      </c>
      <c r="N15" s="147">
        <f>'Nutrient Composition'!H29</f>
        <v>0.88160372134234144</v>
      </c>
      <c r="O15" s="129">
        <f>(N15*'ADC''s, HSB'!I15)/100</f>
        <v>0.88160372134234133</v>
      </c>
      <c r="P15" s="394">
        <f>'Nutrient Composition'!I29</f>
        <v>3.7268800531620339</v>
      </c>
      <c r="Q15" s="13">
        <f>(P15*'ADC''s, HSB'!J15)/100</f>
        <v>3.7268800531620339</v>
      </c>
      <c r="R15" s="394">
        <f>'Nutrient Composition'!J29</f>
        <v>0.54269575811274784</v>
      </c>
      <c r="S15" s="13">
        <f>(R15*'ADC''s, HSB'!K15)/100</f>
        <v>0.46609870888386518</v>
      </c>
      <c r="T15" s="394">
        <f>'Nutrient Composition'!K29</f>
        <v>0.32229482777716251</v>
      </c>
      <c r="U15" s="13">
        <f>(T15*'ADC''s, HSB'!L15)/100</f>
        <v>0.18473641322446141</v>
      </c>
      <c r="V15" s="394">
        <f>'Nutrient Composition'!L29</f>
        <v>0.52719016502381222</v>
      </c>
      <c r="W15" s="13">
        <f>(V15*'ADC''s, HSB'!M15)/100</f>
        <v>0.47557541310030321</v>
      </c>
      <c r="X15" s="394">
        <f>'Nutrient Composition'!M29</f>
        <v>0.97131465278546913</v>
      </c>
      <c r="Y15" s="13">
        <f>(X15*'ADC''s, HSB'!N15)/100</f>
        <v>0.92406065915911328</v>
      </c>
      <c r="Z15" s="394">
        <f>'Nutrient Composition'!N29</f>
        <v>0.38320965776940968</v>
      </c>
      <c r="AA15" s="13">
        <f>(Z15*'ADC''s, HSB'!O15)/100</f>
        <v>0.38320965776940968</v>
      </c>
      <c r="AB15" s="394">
        <f>'Nutrient Composition'!O29</f>
        <v>0.20046516779266807</v>
      </c>
      <c r="AC15" s="13">
        <f>(AB15*'ADC''s, HSB'!P15)/100</f>
        <v>0.19138774130594138</v>
      </c>
      <c r="AD15" s="394">
        <f>'Nutrient Composition'!P29</f>
        <v>0.70882711263705844</v>
      </c>
      <c r="AE15" s="13">
        <f>(AD15*'ADC''s, HSB'!Q15)/100</f>
        <v>0.68013387531201841</v>
      </c>
      <c r="AF15" s="394">
        <f>'Nutrient Composition'!Q29</f>
        <v>1.300254734743604</v>
      </c>
      <c r="AG15" s="197" t="s">
        <v>212</v>
      </c>
      <c r="AH15" s="394">
        <f>'Nutrient Composition'!R29</f>
        <v>0.50836194484439035</v>
      </c>
      <c r="AI15" s="13">
        <f>(AH15*'ADC''s, HSB'!R15)/100</f>
        <v>0.50836194484439035</v>
      </c>
      <c r="AJ15" s="394">
        <f>'Nutrient Composition'!S29</f>
        <v>0.40757558976630859</v>
      </c>
      <c r="AK15" s="13">
        <f>(AJ15*'ADC''s, HSB'!S15)/100</f>
        <v>0.40757558976630859</v>
      </c>
      <c r="AL15" s="394">
        <f>'Nutrient Composition'!T29</f>
        <v>0.46073762321408795</v>
      </c>
      <c r="AM15" s="13">
        <f>(AL15*'ADC''s, HSB'!T15)/100</f>
        <v>0.43806276055003868</v>
      </c>
      <c r="AN15" s="394">
        <f>'Nutrient Composition'!U29</f>
        <v>0.66231033337025147</v>
      </c>
      <c r="AO15" s="13">
        <f>(AN15*'ADC''s, HSB'!U15)/100</f>
        <v>0.6446428965972657</v>
      </c>
      <c r="AP15" s="394">
        <f>'Nutrient Composition'!V29</f>
        <v>12.968213534167683</v>
      </c>
      <c r="AQ15" s="13">
        <f>(AP15*'ADC''s, HSB'!V15)/100</f>
        <v>11.899026625006172</v>
      </c>
      <c r="AR15" s="253" t="s">
        <v>212</v>
      </c>
      <c r="AS15" s="30" t="s">
        <v>212</v>
      </c>
      <c r="AT15" s="38" t="s">
        <v>212</v>
      </c>
      <c r="AU15" s="38" t="s">
        <v>212</v>
      </c>
      <c r="AV15" s="20" t="s">
        <v>212</v>
      </c>
      <c r="AW15" s="20" t="s">
        <v>212</v>
      </c>
      <c r="AX15" s="127" t="s">
        <v>212</v>
      </c>
      <c r="AY15" s="38" t="s">
        <v>212</v>
      </c>
      <c r="AZ15" s="163" t="s">
        <v>212</v>
      </c>
      <c r="BA15" s="349" t="s">
        <v>212</v>
      </c>
      <c r="BB15" s="20" t="s">
        <v>212</v>
      </c>
      <c r="BC15" s="20" t="s">
        <v>212</v>
      </c>
      <c r="BD15" s="20" t="s">
        <v>212</v>
      </c>
      <c r="BE15" s="304" t="s">
        <v>212</v>
      </c>
      <c r="BF15" s="52"/>
    </row>
    <row r="16" spans="1:58">
      <c r="A16" s="371" t="s">
        <v>183</v>
      </c>
      <c r="B16" s="51">
        <f>'Nutrient Composition'!B30</f>
        <v>86.885000000000005</v>
      </c>
      <c r="C16" s="129">
        <f>(B16*'ADC''s, HSB'!C16)/100</f>
        <v>32.126033836413406</v>
      </c>
      <c r="D16" s="197" t="s">
        <v>212</v>
      </c>
      <c r="E16" s="195" t="s">
        <v>212</v>
      </c>
      <c r="F16" s="147">
        <f>'Nutrient Composition'!D30</f>
        <v>13.190999597168672</v>
      </c>
      <c r="G16" s="129">
        <f>(F16*'ADC''s, HSB'!E16)/100</f>
        <v>12.619392524305727</v>
      </c>
      <c r="H16" s="55">
        <f>'Nutrient Composition'!E30</f>
        <v>5501.260286585717</v>
      </c>
      <c r="I16" s="128">
        <f>(H16*'ADC''s, HSB'!F16)/100</f>
        <v>1936.6370608452462</v>
      </c>
      <c r="J16" s="51">
        <f>'Nutrient Composition'!F30</f>
        <v>0.31420843643897106</v>
      </c>
      <c r="K16" s="129">
        <f>(J16*'ADC''s, HSB'!G16)/100</f>
        <v>0.11306077040591613</v>
      </c>
      <c r="L16" s="147">
        <f>'Nutrient Composition'!G30</f>
        <v>0.46613339471715487</v>
      </c>
      <c r="M16" s="129">
        <f>(L16*'ADC''s, HSB'!H16)/100</f>
        <v>0.45949628798609859</v>
      </c>
      <c r="N16" s="147">
        <f>'Nutrient Composition'!H30</f>
        <v>0.45807676814179665</v>
      </c>
      <c r="O16" s="129">
        <f>(N16*'ADC''s, HSB'!I16)/100</f>
        <v>0.45807676814179665</v>
      </c>
      <c r="P16" s="394">
        <f>'Nutrient Composition'!I30</f>
        <v>3.3998964148011743</v>
      </c>
      <c r="Q16" s="13">
        <f>(P16*'ADC''s, HSB'!J16)/100</f>
        <v>3.3998964148011743</v>
      </c>
      <c r="R16" s="394">
        <f>'Nutrient Composition'!J30</f>
        <v>0.36024630258387524</v>
      </c>
      <c r="S16" s="13">
        <f>(R16*'ADC''s, HSB'!K16)/100</f>
        <v>0.34614687379726999</v>
      </c>
      <c r="T16" s="394">
        <f>'Nutrient Composition'!K30</f>
        <v>0.21522702422742707</v>
      </c>
      <c r="U16" s="13">
        <f>(T16*'ADC''s, HSB'!L16)/100</f>
        <v>3.3915988233148377E-2</v>
      </c>
      <c r="V16" s="394">
        <f>'Nutrient Composition'!L30</f>
        <v>0.39592564884617593</v>
      </c>
      <c r="W16" s="13">
        <f>(V16*'ADC''s, HSB'!M16)/100</f>
        <v>0.23390376790955464</v>
      </c>
      <c r="X16" s="394">
        <f>'Nutrient Composition'!M30</f>
        <v>0.73890775162571221</v>
      </c>
      <c r="Y16" s="13">
        <f>(X16*'ADC''s, HSB'!N16)/100</f>
        <v>0.55713297052970434</v>
      </c>
      <c r="Z16" s="394">
        <f>'Nutrient Composition'!N30</f>
        <v>0.2221327041491627</v>
      </c>
      <c r="AA16" s="13">
        <f>(Z16*'ADC''s, HSB'!O16)/100</f>
        <v>0.21319076124299474</v>
      </c>
      <c r="AB16" s="394">
        <f>'Nutrient Composition'!O30</f>
        <v>0.15652874489267424</v>
      </c>
      <c r="AC16" s="13">
        <f>(AB16*'ADC''s, HSB'!P16)/100</f>
        <v>0.11568632187951992</v>
      </c>
      <c r="AD16" s="394">
        <f>'Nutrient Composition'!P30</f>
        <v>0.53058640732002071</v>
      </c>
      <c r="AE16" s="13">
        <f>(AD16*'ADC''s, HSB'!Q16)/100</f>
        <v>0.40300430194470943</v>
      </c>
      <c r="AF16" s="394">
        <f>'Nutrient Composition'!Q30</f>
        <v>1.1474938136617368</v>
      </c>
      <c r="AG16" s="197" t="s">
        <v>212</v>
      </c>
      <c r="AH16" s="394">
        <f>'Nutrient Composition'!R30</f>
        <v>0.49145422109685216</v>
      </c>
      <c r="AI16" s="13">
        <f>(AH16*'ADC''s, HSB'!R16)/100</f>
        <v>0.49145422109685216</v>
      </c>
      <c r="AJ16" s="394">
        <f>'Nutrient Composition'!S30</f>
        <v>0.3050008632099902</v>
      </c>
      <c r="AK16" s="13">
        <f>(AJ16*'ADC''s, HSB'!S16)/100</f>
        <v>0.3050008632099902</v>
      </c>
      <c r="AL16" s="394">
        <f>'Nutrient Composition'!T30</f>
        <v>0.34873683604764916</v>
      </c>
      <c r="AM16" s="13">
        <f>(AL16*'ADC''s, HSB'!T16)/100</f>
        <v>0.22498777666135425</v>
      </c>
      <c r="AN16" s="394">
        <f>'Nutrient Composition'!U30</f>
        <v>0.4638315014099097</v>
      </c>
      <c r="AO16" s="13">
        <f>(AN16*'ADC''s, HSB'!U16)/100</f>
        <v>0.37515959419646849</v>
      </c>
      <c r="AP16" s="394">
        <f>'Nutrient Composition'!V30</f>
        <v>10.014386833170283</v>
      </c>
      <c r="AQ16" s="13">
        <f>(AP16*'ADC''s, HSB'!V16)/100</f>
        <v>7.8253400557387307</v>
      </c>
      <c r="AR16" s="253" t="s">
        <v>212</v>
      </c>
      <c r="AS16" s="30" t="s">
        <v>212</v>
      </c>
      <c r="AT16" s="38" t="s">
        <v>212</v>
      </c>
      <c r="AU16" s="38" t="s">
        <v>212</v>
      </c>
      <c r="AV16" s="20" t="s">
        <v>212</v>
      </c>
      <c r="AW16" s="20" t="s">
        <v>212</v>
      </c>
      <c r="AX16" s="38" t="s">
        <v>212</v>
      </c>
      <c r="AY16" s="38" t="s">
        <v>212</v>
      </c>
      <c r="AZ16" s="163" t="s">
        <v>212</v>
      </c>
      <c r="BA16" s="250" t="s">
        <v>212</v>
      </c>
      <c r="BB16" s="20" t="s">
        <v>212</v>
      </c>
      <c r="BC16" s="20" t="s">
        <v>212</v>
      </c>
      <c r="BD16" s="20" t="s">
        <v>212</v>
      </c>
      <c r="BE16" s="304" t="s">
        <v>212</v>
      </c>
      <c r="BF16" s="52"/>
    </row>
    <row r="17" spans="1:58">
      <c r="A17" s="335" t="s">
        <v>193</v>
      </c>
      <c r="B17" s="51">
        <f>'Nutrient Composition'!B11</f>
        <v>93.155000000000001</v>
      </c>
      <c r="C17" s="129">
        <f>(B17*'ADC''s, HSB'!C17)/100</f>
        <v>93.155000000000001</v>
      </c>
      <c r="D17" s="197" t="s">
        <v>212</v>
      </c>
      <c r="E17" s="195" t="s">
        <v>212</v>
      </c>
      <c r="F17" s="147">
        <f>'Nutrient Composition'!D11</f>
        <v>70.497557833717991</v>
      </c>
      <c r="G17" s="129">
        <f>(F17*'ADC''s, HSB'!E17)/100</f>
        <v>66.860226272193401</v>
      </c>
      <c r="H17" s="55">
        <f>'Nutrient Composition'!E11</f>
        <v>6647.3297192850623</v>
      </c>
      <c r="I17" s="128">
        <f>(H17*'ADC''s, HSB'!F17)/100</f>
        <v>6647.3297192850623</v>
      </c>
      <c r="J17" s="51">
        <f>'Nutrient Composition'!F11</f>
        <v>4.3046535344318606</v>
      </c>
      <c r="K17" s="129">
        <f>(J17*'ADC''s, HSB'!G17)/100</f>
        <v>4.3046535344318606</v>
      </c>
      <c r="L17" s="147">
        <f>'Nutrient Composition'!G11</f>
        <v>5.1312328914175298</v>
      </c>
      <c r="M17" s="129">
        <f>(L17*'ADC''s, HSB'!H17)/100</f>
        <v>5.1312328914175289</v>
      </c>
      <c r="N17" s="147">
        <f>'Nutrient Composition'!H11</f>
        <v>6.108099404218776</v>
      </c>
      <c r="O17" s="129">
        <f>(N17*'ADC''s, HSB'!I17)/100</f>
        <v>6.108099404218776</v>
      </c>
      <c r="P17" s="394">
        <f>'Nutrient Composition'!I11</f>
        <v>8.6844506467715092</v>
      </c>
      <c r="Q17" s="13">
        <f>(P17*'ADC''s, HSB'!J17)/100</f>
        <v>8.6844506467715092</v>
      </c>
      <c r="R17" s="394">
        <f>'Nutrient Composition'!J11</f>
        <v>4.3583275186517092</v>
      </c>
      <c r="S17" s="13">
        <f>(R17*'ADC''s, HSB'!K17)/100</f>
        <v>4.3583275186517092</v>
      </c>
      <c r="T17" s="394">
        <f>'Nutrient Composition'!K11</f>
        <v>1.8678546508507328</v>
      </c>
      <c r="U17" s="13">
        <f>(T17*'ADC''s, HSB'!L17)/100</f>
        <v>1.8678546508507328</v>
      </c>
      <c r="V17" s="394">
        <f>'Nutrient Composition'!L11</f>
        <v>3.0701518973753421</v>
      </c>
      <c r="W17" s="13">
        <f>(V17*'ADC''s, HSB'!M17)/100</f>
        <v>3.003467651102075</v>
      </c>
      <c r="X17" s="394">
        <f>'Nutrient Composition'!M11</f>
        <v>5.1527024851054692</v>
      </c>
      <c r="Y17" s="13">
        <f>(X17*'ADC''s, HSB'!N17)/100</f>
        <v>5.1527024851054692</v>
      </c>
      <c r="Z17" s="394">
        <f>'Nutrient Composition'!N11</f>
        <v>5.2815200472331059</v>
      </c>
      <c r="AA17" s="13">
        <f>(Z17*'ADC''s, HSB'!O17)/100</f>
        <v>5.2815200472331059</v>
      </c>
      <c r="AB17" s="394">
        <f>'Nutrient Composition'!O11</f>
        <v>2.0074070098223391</v>
      </c>
      <c r="AC17" s="13">
        <f>(AB17*'ADC''s, HSB'!P17)/100</f>
        <v>1.9948074030221912</v>
      </c>
      <c r="AD17" s="394">
        <f>'Nutrient Composition'!P11</f>
        <v>2.8232515699640381</v>
      </c>
      <c r="AE17" s="13">
        <f>(AD17*'ADC''s, HSB'!Q17)/100</f>
        <v>2.8232515699640377</v>
      </c>
      <c r="AF17" s="394">
        <f>'Nutrient Composition'!Q11</f>
        <v>3.1238258815951911</v>
      </c>
      <c r="AG17" s="197" t="s">
        <v>212</v>
      </c>
      <c r="AH17" s="394">
        <f>'Nutrient Composition'!R11</f>
        <v>2.6729644141484625</v>
      </c>
      <c r="AI17" s="13">
        <f>(AH17*'ADC''s, HSB'!R17)/100</f>
        <v>2.6729644141484625</v>
      </c>
      <c r="AJ17" s="394">
        <f>'Nutrient Composition'!S11</f>
        <v>2.9842735226235844</v>
      </c>
      <c r="AK17" s="13">
        <f>(AJ17*'ADC''s, HSB'!S17)/100</f>
        <v>2.9842735226235844</v>
      </c>
      <c r="AL17" s="394">
        <f>'Nutrient Composition'!T11</f>
        <v>2.3294509151414311</v>
      </c>
      <c r="AM17" s="13">
        <f>(AL17*'ADC''s, HSB'!T17)/100</f>
        <v>2.3294509151414311</v>
      </c>
      <c r="AN17" s="394">
        <f>'Nutrient Composition'!U11</f>
        <v>3.5424829585100102</v>
      </c>
      <c r="AO17" s="13">
        <f>(AN17*'ADC''s, HSB'!U17)/100</f>
        <v>3.5424829585100097</v>
      </c>
      <c r="AP17" s="394">
        <f>'Nutrient Composition'!V11</f>
        <v>63.442649347861078</v>
      </c>
      <c r="AQ17" s="13">
        <f>(AP17*'ADC''s, HSB'!V17)/100</f>
        <v>63.324236872830426</v>
      </c>
      <c r="AR17" s="253" t="s">
        <v>212</v>
      </c>
      <c r="AS17" s="30" t="s">
        <v>212</v>
      </c>
      <c r="AT17" s="38" t="s">
        <v>212</v>
      </c>
      <c r="AU17" s="38" t="s">
        <v>212</v>
      </c>
      <c r="AV17" s="20" t="s">
        <v>212</v>
      </c>
      <c r="AW17" s="20" t="s">
        <v>212</v>
      </c>
      <c r="AX17" s="139" t="s">
        <v>212</v>
      </c>
      <c r="AY17" s="38" t="s">
        <v>212</v>
      </c>
      <c r="AZ17" s="163" t="s">
        <v>212</v>
      </c>
      <c r="BA17" s="250" t="s">
        <v>212</v>
      </c>
      <c r="BB17" s="20" t="s">
        <v>212</v>
      </c>
      <c r="BC17" s="20" t="s">
        <v>212</v>
      </c>
      <c r="BD17" s="20" t="s">
        <v>212</v>
      </c>
      <c r="BE17" s="304" t="s">
        <v>212</v>
      </c>
      <c r="BF17" s="52"/>
    </row>
    <row r="18" spans="1:58" s="19" customFormat="1">
      <c r="A18" s="342"/>
      <c r="B18" s="39"/>
      <c r="C18" s="135"/>
      <c r="D18" s="135"/>
      <c r="E18" s="135"/>
      <c r="F18" s="39"/>
      <c r="G18" s="129"/>
      <c r="H18" s="26"/>
      <c r="I18" s="129"/>
      <c r="J18" s="39"/>
      <c r="K18" s="39"/>
      <c r="L18" s="39"/>
      <c r="M18" s="39"/>
      <c r="N18" s="39"/>
      <c r="O18" s="3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3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0"/>
      <c r="AS18" s="23"/>
      <c r="AT18" s="38"/>
      <c r="AU18" s="38"/>
      <c r="AV18" s="20"/>
      <c r="AW18" s="20"/>
      <c r="AX18" s="139"/>
      <c r="AY18" s="38"/>
      <c r="AZ18" s="20"/>
      <c r="BA18" s="61"/>
      <c r="BB18" s="20"/>
      <c r="BC18" s="20"/>
      <c r="BD18" s="20"/>
      <c r="BE18" s="38"/>
      <c r="BF18" s="153"/>
    </row>
    <row r="19" spans="1:58" s="19" customFormat="1">
      <c r="A19" s="9"/>
      <c r="B19" s="39"/>
      <c r="C19" s="135"/>
      <c r="D19" s="135"/>
      <c r="E19" s="135"/>
      <c r="F19" s="39"/>
      <c r="G19" s="39"/>
      <c r="H19" s="26"/>
      <c r="I19" s="26"/>
      <c r="J19" s="39"/>
      <c r="K19" s="39"/>
      <c r="L19" s="39"/>
      <c r="M19" s="39"/>
      <c r="N19" s="39"/>
      <c r="O19" s="3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3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0"/>
      <c r="AS19" s="20"/>
      <c r="AT19" s="38"/>
      <c r="AU19" s="38"/>
      <c r="AV19" s="20"/>
      <c r="AW19" s="20"/>
      <c r="AX19" s="38"/>
      <c r="AY19" s="38"/>
      <c r="AZ19" s="20"/>
      <c r="BA19" s="61"/>
      <c r="BB19" s="20"/>
      <c r="BC19" s="20"/>
      <c r="BD19" s="20"/>
      <c r="BE19" s="38"/>
      <c r="BF19" s="153"/>
    </row>
    <row r="20" spans="1:58" s="19" customFormat="1">
      <c r="A20" s="9"/>
      <c r="B20" s="39"/>
      <c r="C20" s="135"/>
      <c r="D20" s="135"/>
      <c r="E20" s="135"/>
      <c r="F20" s="39"/>
      <c r="G20" s="39"/>
      <c r="H20" s="26"/>
      <c r="I20" s="26"/>
      <c r="J20" s="39"/>
      <c r="K20" s="39"/>
      <c r="L20" s="39"/>
      <c r="M20" s="39"/>
      <c r="N20" s="39"/>
      <c r="O20" s="3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3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0"/>
      <c r="AS20" s="20"/>
      <c r="AT20" s="38"/>
      <c r="AU20" s="38"/>
      <c r="AV20" s="20"/>
      <c r="AW20" s="20"/>
      <c r="AX20" s="38"/>
      <c r="AY20" s="38"/>
      <c r="AZ20" s="20"/>
      <c r="BA20" s="61"/>
      <c r="BB20" s="20"/>
      <c r="BC20" s="20"/>
      <c r="BD20" s="20"/>
      <c r="BE20" s="38"/>
      <c r="BF20" s="153"/>
    </row>
    <row r="21" spans="1:58" ht="18.75">
      <c r="A21" s="9"/>
      <c r="B21" s="91"/>
      <c r="C21" s="91"/>
      <c r="D21" s="105" t="s">
        <v>214</v>
      </c>
      <c r="E21" s="105"/>
      <c r="F21" s="143"/>
      <c r="G21" s="143"/>
      <c r="H21" s="91"/>
      <c r="I21" s="91"/>
      <c r="J21" s="154"/>
      <c r="K21" s="90"/>
      <c r="L21" s="154"/>
      <c r="M21" s="155"/>
      <c r="N21" s="90"/>
      <c r="O21" s="90"/>
      <c r="P21" s="395"/>
      <c r="Q21" s="396"/>
      <c r="R21" s="395"/>
      <c r="S21" s="396"/>
      <c r="T21" s="397"/>
      <c r="U21" s="397"/>
      <c r="V21" s="395"/>
      <c r="W21" s="396"/>
      <c r="X21" s="398" t="s">
        <v>218</v>
      </c>
      <c r="Y21" s="397"/>
      <c r="Z21" s="395"/>
      <c r="AA21" s="396"/>
      <c r="AB21" s="397"/>
      <c r="AC21" s="397"/>
      <c r="AD21" s="395"/>
      <c r="AE21" s="396"/>
      <c r="AF21" s="397"/>
      <c r="AG21" s="397"/>
      <c r="AH21" s="395"/>
      <c r="AI21" s="396"/>
      <c r="AJ21" s="397"/>
      <c r="AK21" s="397"/>
      <c r="AL21" s="395"/>
      <c r="AM21" s="396"/>
      <c r="AN21" s="395"/>
      <c r="AO21" s="399"/>
      <c r="AP21" s="400"/>
      <c r="AQ21" s="401"/>
      <c r="AR21" s="256"/>
      <c r="AS21" s="247"/>
      <c r="AT21" s="247"/>
      <c r="AU21" s="247"/>
      <c r="AV21" s="298"/>
      <c r="AW21" s="299" t="s">
        <v>239</v>
      </c>
      <c r="AX21" s="247"/>
      <c r="AY21" s="247"/>
      <c r="AZ21" s="247"/>
      <c r="BA21" s="247"/>
      <c r="BB21" s="247"/>
      <c r="BC21" s="247"/>
      <c r="BD21" s="247"/>
      <c r="BE21" s="300"/>
      <c r="BF21" s="52"/>
    </row>
    <row r="22" spans="1:58">
      <c r="A22" s="9"/>
      <c r="B22" s="455" t="s">
        <v>240</v>
      </c>
      <c r="C22" s="455"/>
      <c r="D22" s="452" t="s">
        <v>1</v>
      </c>
      <c r="E22" s="453"/>
      <c r="F22" s="452" t="s">
        <v>236</v>
      </c>
      <c r="G22" s="453"/>
      <c r="H22" s="455" t="s">
        <v>235</v>
      </c>
      <c r="I22" s="455"/>
      <c r="J22" s="449" t="s">
        <v>221</v>
      </c>
      <c r="K22" s="449"/>
      <c r="L22" s="446" t="s">
        <v>222</v>
      </c>
      <c r="M22" s="451"/>
      <c r="N22" s="449" t="s">
        <v>237</v>
      </c>
      <c r="O22" s="450"/>
      <c r="P22" s="461" t="s">
        <v>223</v>
      </c>
      <c r="Q22" s="463"/>
      <c r="R22" s="461" t="s">
        <v>224</v>
      </c>
      <c r="S22" s="463"/>
      <c r="T22" s="465" t="s">
        <v>225</v>
      </c>
      <c r="U22" s="466"/>
      <c r="V22" s="461" t="s">
        <v>226</v>
      </c>
      <c r="W22" s="463"/>
      <c r="X22" s="465" t="s">
        <v>227</v>
      </c>
      <c r="Y22" s="466"/>
      <c r="Z22" s="461" t="s">
        <v>219</v>
      </c>
      <c r="AA22" s="463"/>
      <c r="AB22" s="465" t="s">
        <v>228</v>
      </c>
      <c r="AC22" s="466"/>
      <c r="AD22" s="461" t="s">
        <v>229</v>
      </c>
      <c r="AE22" s="464"/>
      <c r="AF22" s="465" t="s">
        <v>230</v>
      </c>
      <c r="AG22" s="465"/>
      <c r="AH22" s="461" t="s">
        <v>231</v>
      </c>
      <c r="AI22" s="464"/>
      <c r="AJ22" s="465" t="s">
        <v>232</v>
      </c>
      <c r="AK22" s="465"/>
      <c r="AL22" s="461" t="s">
        <v>233</v>
      </c>
      <c r="AM22" s="463"/>
      <c r="AN22" s="461" t="s">
        <v>234</v>
      </c>
      <c r="AO22" s="462"/>
      <c r="AP22" s="461" t="s">
        <v>220</v>
      </c>
      <c r="AQ22" s="463"/>
      <c r="AR22" s="219" t="s">
        <v>4</v>
      </c>
      <c r="AS22" s="121" t="s">
        <v>5</v>
      </c>
      <c r="AT22" s="121" t="s">
        <v>6</v>
      </c>
      <c r="AU22" s="122" t="s">
        <v>7</v>
      </c>
      <c r="AV22" s="121" t="s">
        <v>8</v>
      </c>
      <c r="AW22" s="121" t="s">
        <v>9</v>
      </c>
      <c r="AX22" s="121" t="s">
        <v>10</v>
      </c>
      <c r="AY22" s="121" t="s">
        <v>11</v>
      </c>
      <c r="AZ22" s="457" t="s">
        <v>238</v>
      </c>
      <c r="BA22" s="458"/>
      <c r="BB22" s="121" t="s">
        <v>13</v>
      </c>
      <c r="BC22" s="121" t="s">
        <v>14</v>
      </c>
      <c r="BD22" s="121" t="s">
        <v>15</v>
      </c>
      <c r="BE22" s="220" t="s">
        <v>16</v>
      </c>
      <c r="BF22" s="52"/>
    </row>
    <row r="23" spans="1:58" ht="16.5" thickBot="1">
      <c r="A23" s="73" t="s">
        <v>252</v>
      </c>
      <c r="B23" s="149" t="s">
        <v>217</v>
      </c>
      <c r="C23" s="100" t="s">
        <v>215</v>
      </c>
      <c r="D23" s="149" t="s">
        <v>217</v>
      </c>
      <c r="E23" s="150" t="s">
        <v>215</v>
      </c>
      <c r="F23" s="149" t="s">
        <v>101</v>
      </c>
      <c r="G23" s="150" t="s">
        <v>215</v>
      </c>
      <c r="H23" s="100" t="s">
        <v>216</v>
      </c>
      <c r="I23" s="100" t="s">
        <v>215</v>
      </c>
      <c r="J23" s="146" t="s">
        <v>217</v>
      </c>
      <c r="K23" s="146" t="s">
        <v>215</v>
      </c>
      <c r="L23" s="151" t="s">
        <v>217</v>
      </c>
      <c r="M23" s="152" t="s">
        <v>215</v>
      </c>
      <c r="N23" s="146" t="s">
        <v>217</v>
      </c>
      <c r="O23" s="146" t="s">
        <v>215</v>
      </c>
      <c r="P23" s="402" t="s">
        <v>217</v>
      </c>
      <c r="Q23" s="403" t="s">
        <v>215</v>
      </c>
      <c r="R23" s="402" t="s">
        <v>217</v>
      </c>
      <c r="S23" s="403" t="s">
        <v>215</v>
      </c>
      <c r="T23" s="404" t="s">
        <v>217</v>
      </c>
      <c r="U23" s="404" t="s">
        <v>215</v>
      </c>
      <c r="V23" s="402" t="s">
        <v>217</v>
      </c>
      <c r="W23" s="403" t="s">
        <v>215</v>
      </c>
      <c r="X23" s="404" t="s">
        <v>217</v>
      </c>
      <c r="Y23" s="404" t="s">
        <v>215</v>
      </c>
      <c r="Z23" s="402" t="s">
        <v>217</v>
      </c>
      <c r="AA23" s="403" t="s">
        <v>215</v>
      </c>
      <c r="AB23" s="404" t="s">
        <v>217</v>
      </c>
      <c r="AC23" s="404" t="s">
        <v>215</v>
      </c>
      <c r="AD23" s="402" t="s">
        <v>217</v>
      </c>
      <c r="AE23" s="403" t="s">
        <v>215</v>
      </c>
      <c r="AF23" s="404" t="s">
        <v>217</v>
      </c>
      <c r="AG23" s="403" t="s">
        <v>215</v>
      </c>
      <c r="AH23" s="402" t="s">
        <v>217</v>
      </c>
      <c r="AI23" s="403" t="s">
        <v>215</v>
      </c>
      <c r="AJ23" s="404" t="s">
        <v>217</v>
      </c>
      <c r="AK23" s="404" t="s">
        <v>215</v>
      </c>
      <c r="AL23" s="402" t="s">
        <v>217</v>
      </c>
      <c r="AM23" s="403" t="s">
        <v>215</v>
      </c>
      <c r="AN23" s="402" t="s">
        <v>217</v>
      </c>
      <c r="AO23" s="404" t="s">
        <v>215</v>
      </c>
      <c r="AP23" s="402" t="s">
        <v>217</v>
      </c>
      <c r="AQ23" s="403" t="s">
        <v>215</v>
      </c>
      <c r="AR23" s="257" t="s">
        <v>93</v>
      </c>
      <c r="AS23" s="96" t="s">
        <v>91</v>
      </c>
      <c r="AT23" s="118" t="s">
        <v>91</v>
      </c>
      <c r="AU23" s="97" t="s">
        <v>91</v>
      </c>
      <c r="AV23" s="118" t="s">
        <v>93</v>
      </c>
      <c r="AW23" s="118" t="s">
        <v>91</v>
      </c>
      <c r="AX23" s="118" t="s">
        <v>91</v>
      </c>
      <c r="AY23" s="160" t="s">
        <v>91</v>
      </c>
      <c r="AZ23" s="161" t="s">
        <v>217</v>
      </c>
      <c r="BA23" s="162" t="s">
        <v>215</v>
      </c>
      <c r="BB23" s="159" t="s">
        <v>93</v>
      </c>
      <c r="BC23" s="118" t="s">
        <v>93</v>
      </c>
      <c r="BD23" s="118" t="s">
        <v>93</v>
      </c>
      <c r="BE23" s="301" t="s">
        <v>91</v>
      </c>
      <c r="BF23" s="52"/>
    </row>
    <row r="24" spans="1:58">
      <c r="A24" s="335" t="s">
        <v>190</v>
      </c>
      <c r="B24" s="51">
        <f>'Nutrient Composition'!B8</f>
        <v>92.7</v>
      </c>
      <c r="C24" s="129">
        <f>(B24*'ADC''s, HSB'!C23)/100</f>
        <v>92.7</v>
      </c>
      <c r="D24" s="196" t="s">
        <v>208</v>
      </c>
      <c r="E24" s="193" t="s">
        <v>212</v>
      </c>
      <c r="F24" s="147">
        <f>'Nutrient Composition'!D8</f>
        <v>73.045307443365687</v>
      </c>
      <c r="G24" s="129">
        <f>(F24*'ADC''s, HSB'!E23)/100</f>
        <v>68.3631200174746</v>
      </c>
      <c r="H24" s="391">
        <f>'Nutrient Composition'!E8</f>
        <v>5292.8478964401293</v>
      </c>
      <c r="I24" s="128">
        <f>(H24*'ADC''s, HSB'!F23)/100</f>
        <v>5292.8478964401293</v>
      </c>
      <c r="J24" s="147">
        <f>'Nutrient Composition'!F8</f>
        <v>4.4444444444444446</v>
      </c>
      <c r="K24" s="129">
        <f>(J24*'ADC''s, HSB'!G23)/100</f>
        <v>4.1918588610301697</v>
      </c>
      <c r="L24" s="147">
        <f>'Nutrient Composition'!G8</f>
        <v>5.1456310679611645</v>
      </c>
      <c r="M24" s="129">
        <f>(L24*'ADC''s, HSB'!H23)/100</f>
        <v>5.0338171288694937</v>
      </c>
      <c r="N24" s="147">
        <f>'Nutrient Composition'!H8</f>
        <v>6.3430420711974103</v>
      </c>
      <c r="O24" s="129">
        <f>(N24*'ADC''s, HSB'!I23)/100</f>
        <v>5.9120783910308603</v>
      </c>
      <c r="P24" s="394">
        <f>'Nutrient Composition'!I8</f>
        <v>8.7918015102481117</v>
      </c>
      <c r="Q24" s="13">
        <f>(P24*'ADC''s, HSB'!J23)/100</f>
        <v>8.7732053417776914</v>
      </c>
      <c r="R24" s="394">
        <f>'Nutrient Composition'!J8</f>
        <v>4.1316073354908305</v>
      </c>
      <c r="S24" s="13">
        <f>(R24*'ADC''s, HSB'!K23)/100</f>
        <v>4.2018603541878923</v>
      </c>
      <c r="T24" s="394">
        <f>'Nutrient Composition'!K8</f>
        <v>1.8985976267529665</v>
      </c>
      <c r="U24" s="13">
        <f>(T24*'ADC''s, HSB'!L23)/100</f>
        <v>1.7892024491419993</v>
      </c>
      <c r="V24" s="394">
        <f>'Nutrient Composition'!L8</f>
        <v>3.3549083063646168</v>
      </c>
      <c r="W24" s="13">
        <f>(V24*'ADC''s, HSB'!M23)/100</f>
        <v>2.9338939155127428</v>
      </c>
      <c r="X24" s="394">
        <f>'Nutrient Composition'!M8</f>
        <v>5.4368932038834945</v>
      </c>
      <c r="Y24" s="13">
        <f>(X24*'ADC''s, HSB'!N23)/100</f>
        <v>5.2090757043701457</v>
      </c>
      <c r="Z24" s="394">
        <f>'Nutrient Composition'!N8</f>
        <v>5.5987055016181229</v>
      </c>
      <c r="AA24" s="13">
        <f>(Z24*'ADC''s, HSB'!O23)/100</f>
        <v>5.3920717711257717</v>
      </c>
      <c r="AB24" s="394">
        <f>'Nutrient Composition'!O8</f>
        <v>2.0604099244875944</v>
      </c>
      <c r="AC24" s="13">
        <f>(AB24*'ADC''s, HSB'!P23)/100</f>
        <v>1.9537876612735068</v>
      </c>
      <c r="AD24" s="394">
        <f>'Nutrient Composition'!P8</f>
        <v>3.1283710895361376</v>
      </c>
      <c r="AE24" s="13">
        <f>(AD24*'ADC''s, HSB'!Q23)/100</f>
        <v>2.9303536223035538</v>
      </c>
      <c r="AF24" s="394">
        <f>'Nutrient Composition'!Q8</f>
        <v>3.0960086299892127</v>
      </c>
      <c r="AG24" s="193" t="s">
        <v>208</v>
      </c>
      <c r="AH24" s="29">
        <f>'Nutrient Composition'!R8</f>
        <v>2.740021574973031</v>
      </c>
      <c r="AI24" s="13">
        <f>(AH24*'ADC''s, HSB'!R23)/100</f>
        <v>2.6836466110928932</v>
      </c>
      <c r="AJ24" s="394">
        <f>'Nutrient Composition'!S8</f>
        <v>3.1499460625674214</v>
      </c>
      <c r="AK24" s="13">
        <f>(AJ24*'ADC''s, HSB'!S23)/100</f>
        <v>3.0220178059273959</v>
      </c>
      <c r="AL24" s="394">
        <f>'Nutrient Composition'!T8</f>
        <v>2.5674217907227614</v>
      </c>
      <c r="AM24" s="13">
        <f>(AL24*'ADC''s, HSB'!T23)/100</f>
        <v>2.3770659202378028</v>
      </c>
      <c r="AN24" s="394">
        <f>'Nutrient Composition'!U8</f>
        <v>3.7648327939590076</v>
      </c>
      <c r="AO24" s="13">
        <f>(AN24*'ADC''s, HSB'!U23)/100</f>
        <v>3.4125638110600245</v>
      </c>
      <c r="AP24" s="394">
        <f>'Nutrient Composition'!V8</f>
        <v>65.652642934196322</v>
      </c>
      <c r="AQ24" s="13">
        <f>(AP24*'ADC''s, HSB'!V23)/100</f>
        <v>62.424807556050425</v>
      </c>
      <c r="AR24" s="406" t="s">
        <v>212</v>
      </c>
      <c r="AS24" s="407" t="s">
        <v>212</v>
      </c>
      <c r="AT24" s="408" t="s">
        <v>212</v>
      </c>
      <c r="AU24" s="409" t="s">
        <v>212</v>
      </c>
      <c r="AV24" s="408" t="s">
        <v>212</v>
      </c>
      <c r="AW24" s="408" t="s">
        <v>212</v>
      </c>
      <c r="AX24" s="408" t="s">
        <v>212</v>
      </c>
      <c r="AY24" s="408" t="s">
        <v>212</v>
      </c>
      <c r="AZ24" s="410" t="s">
        <v>212</v>
      </c>
      <c r="BA24" s="411" t="s">
        <v>212</v>
      </c>
      <c r="BB24" s="408" t="s">
        <v>212</v>
      </c>
      <c r="BC24" s="408" t="s">
        <v>212</v>
      </c>
      <c r="BD24" s="408" t="s">
        <v>212</v>
      </c>
      <c r="BE24" s="412" t="s">
        <v>212</v>
      </c>
      <c r="BF24" s="52"/>
    </row>
    <row r="25" spans="1:58">
      <c r="A25" s="335" t="s">
        <v>191</v>
      </c>
      <c r="B25" s="51">
        <f>'Nutrient Composition'!B9</f>
        <v>94.72</v>
      </c>
      <c r="C25" s="129">
        <f>(B25*'ADC''s, HSB'!C24)/100</f>
        <v>92.658753953814127</v>
      </c>
      <c r="D25" s="197" t="s">
        <v>212</v>
      </c>
      <c r="E25" s="195" t="s">
        <v>212</v>
      </c>
      <c r="F25" s="147">
        <f>'Nutrient Composition'!D9</f>
        <v>69.448902027027017</v>
      </c>
      <c r="G25" s="129">
        <f>(F25*'ADC''s, HSB'!E24)/100</f>
        <v>59.917630673202638</v>
      </c>
      <c r="H25" s="391">
        <f>'Nutrient Composition'!E9</f>
        <v>5075.1266891891892</v>
      </c>
      <c r="I25" s="128">
        <f>(H25*'ADC''s, HSB'!F24)/100</f>
        <v>5075.1266891891892</v>
      </c>
      <c r="J25" s="147">
        <f>'Nutrient Composition'!F9</f>
        <v>4.4763513513513518</v>
      </c>
      <c r="K25" s="129">
        <f>(J25*'ADC''s, HSB'!G24)/100</f>
        <v>4.4496676509225326</v>
      </c>
      <c r="L25" s="147">
        <f>'Nutrient Composition'!G9</f>
        <v>5.5215371621621623</v>
      </c>
      <c r="M25" s="129">
        <f>(L25*'ADC''s, HSB'!H24)/100</f>
        <v>5.5215371621621623</v>
      </c>
      <c r="N25" s="147">
        <f>'Nutrient Composition'!H9</f>
        <v>5.9332770270270272</v>
      </c>
      <c r="O25" s="129">
        <f>(N25*'ADC''s, HSB'!I24)/100</f>
        <v>5.9332770270270272</v>
      </c>
      <c r="P25" s="394">
        <f>'Nutrient Composition'!I9</f>
        <v>8.7837837837837842</v>
      </c>
      <c r="Q25" s="13">
        <f>(P25*'ADC''s, HSB'!J24)/100</f>
        <v>8.7837837837837842</v>
      </c>
      <c r="R25" s="394">
        <f>'Nutrient Composition'!J9</f>
        <v>6.2077702702702702</v>
      </c>
      <c r="S25" s="13">
        <f>(R25*'ADC''s, HSB'!K24)/100</f>
        <v>6.2077702702702702</v>
      </c>
      <c r="T25" s="394">
        <f>'Nutrient Composition'!K9</f>
        <v>1.3196790540540539</v>
      </c>
      <c r="U25" s="13">
        <f>(T25*'ADC''s, HSB'!L24)/100</f>
        <v>1.3196790540540539</v>
      </c>
      <c r="V25" s="394">
        <f>'Nutrient Composition'!L9</f>
        <v>2.7554898648648645</v>
      </c>
      <c r="W25" s="13">
        <f>(V25*'ADC''s, HSB'!M24)/100</f>
        <v>2.6648676125577153</v>
      </c>
      <c r="X25" s="394">
        <f>'Nutrient Composition'!M9</f>
        <v>4.6875</v>
      </c>
      <c r="Y25" s="13">
        <f>(X25*'ADC''s, HSB'!N24)/100</f>
        <v>4.6875</v>
      </c>
      <c r="Z25" s="394">
        <f>'Nutrient Composition'!N9</f>
        <v>4.7508445945945947</v>
      </c>
      <c r="AA25" s="13">
        <f>(Z25*'ADC''s, HSB'!O24)/100</f>
        <v>4.7508445945945947</v>
      </c>
      <c r="AB25" s="394">
        <f>'Nutrient Composition'!O9</f>
        <v>1.9214527027027026</v>
      </c>
      <c r="AC25" s="13">
        <f>(AB25*'ADC''s, HSB'!P24)/100</f>
        <v>1.8071657536360286</v>
      </c>
      <c r="AD25" s="394">
        <f>'Nutrient Composition'!P9</f>
        <v>2.6921452702702702</v>
      </c>
      <c r="AE25" s="13">
        <f>(AD25*'ADC''s, HSB'!Q24)/100</f>
        <v>2.6921452702702702</v>
      </c>
      <c r="AF25" s="394">
        <f>'Nutrient Composition'!Q9</f>
        <v>3.7056587837837833</v>
      </c>
      <c r="AG25" s="195" t="s">
        <v>212</v>
      </c>
      <c r="AH25" s="29">
        <f>'Nutrient Composition'!R9</f>
        <v>3.0722128378378377</v>
      </c>
      <c r="AI25" s="13">
        <f>(AH25*'ADC''s, HSB'!R24)/100</f>
        <v>2.984414063453646</v>
      </c>
      <c r="AJ25" s="394">
        <f>'Nutrient Composition'!S9</f>
        <v>2.9455236486486487</v>
      </c>
      <c r="AK25" s="13">
        <f>(AJ25*'ADC''s, HSB'!S24)/100</f>
        <v>2.9455236486486482</v>
      </c>
      <c r="AL25" s="394">
        <f>'Nutrient Composition'!T9</f>
        <v>2.2065033783783781</v>
      </c>
      <c r="AM25" s="13">
        <f>(AL25*'ADC''s, HSB'!T24)/100</f>
        <v>2.2171152836891128</v>
      </c>
      <c r="AN25" s="394">
        <f>'Nutrient Composition'!U9</f>
        <v>3.2094594594594592</v>
      </c>
      <c r="AO25" s="13">
        <f>(AN25*'ADC''s, HSB'!U24)/100</f>
        <v>3.2094594594594592</v>
      </c>
      <c r="AP25" s="394">
        <f>'Nutrient Composition'!V9</f>
        <v>64.189189189189179</v>
      </c>
      <c r="AQ25" s="13">
        <f>(AP25*'ADC''s, HSB'!V24)/100</f>
        <v>63.66670051633028</v>
      </c>
      <c r="AR25" s="406" t="s">
        <v>212</v>
      </c>
      <c r="AS25" s="407" t="s">
        <v>212</v>
      </c>
      <c r="AT25" s="408" t="s">
        <v>212</v>
      </c>
      <c r="AU25" s="409" t="s">
        <v>212</v>
      </c>
      <c r="AV25" s="408" t="s">
        <v>212</v>
      </c>
      <c r="AW25" s="408" t="s">
        <v>212</v>
      </c>
      <c r="AX25" s="408" t="s">
        <v>212</v>
      </c>
      <c r="AY25" s="408" t="s">
        <v>212</v>
      </c>
      <c r="AZ25" s="163" t="s">
        <v>212</v>
      </c>
      <c r="BA25" s="349" t="s">
        <v>212</v>
      </c>
      <c r="BB25" s="20" t="s">
        <v>212</v>
      </c>
      <c r="BC25" s="20" t="s">
        <v>212</v>
      </c>
      <c r="BD25" s="20" t="s">
        <v>212</v>
      </c>
      <c r="BE25" s="304" t="s">
        <v>212</v>
      </c>
      <c r="BF25" s="52"/>
    </row>
    <row r="26" spans="1:58">
      <c r="A26" s="335" t="s">
        <v>192</v>
      </c>
      <c r="B26" s="51">
        <f>'Nutrient Composition'!B10</f>
        <v>91.456999999999994</v>
      </c>
      <c r="C26" s="129">
        <f>(B26*'ADC''s, HSB'!C25)/100</f>
        <v>78.639712351420215</v>
      </c>
      <c r="D26" s="197" t="s">
        <v>212</v>
      </c>
      <c r="E26" s="195" t="s">
        <v>212</v>
      </c>
      <c r="F26" s="147">
        <f>'Nutrient Composition'!D10</f>
        <v>73.474966377641948</v>
      </c>
      <c r="G26" s="129">
        <f>(F26*'ADC''s, HSB'!E25)/100</f>
        <v>56.440932454091723</v>
      </c>
      <c r="H26" s="391">
        <f>'Nutrient Composition'!E10</f>
        <v>5142.4822594224615</v>
      </c>
      <c r="I26" s="128">
        <f>(H26*'ADC''s, HSB'!F25)/100</f>
        <v>5142.4822594224615</v>
      </c>
      <c r="J26" s="147">
        <f>'Nutrient Composition'!F10</f>
        <v>4.2971013700427534</v>
      </c>
      <c r="K26" s="129">
        <f>(J26*'ADC''s, HSB'!G25)/100</f>
        <v>3.5861875899220133</v>
      </c>
      <c r="L26" s="147">
        <f>'Nutrient Composition'!G10</f>
        <v>5.8497435953508212</v>
      </c>
      <c r="M26" s="129">
        <f>(L26*'ADC''s, HSB'!H25)/100</f>
        <v>5.4131572935009764</v>
      </c>
      <c r="N26" s="147">
        <f>'Nutrient Composition'!H10</f>
        <v>5.8497435953508212</v>
      </c>
      <c r="O26" s="129">
        <f>(N26*'ADC''s, HSB'!I25)/100</f>
        <v>4.7629034088058599</v>
      </c>
      <c r="P26" s="394">
        <f>'Nutrient Composition'!I10</f>
        <v>8.4192571372338918</v>
      </c>
      <c r="Q26" s="13">
        <f>(P26*'ADC''s, HSB'!J25)/100</f>
        <v>7.5821599727953286</v>
      </c>
      <c r="R26" s="394">
        <f>'Nutrient Composition'!J10</f>
        <v>5.3467749871524326</v>
      </c>
      <c r="S26" s="13">
        <f>(R26*'ADC''s, HSB'!K25)/100</f>
        <v>3.7070766359814984</v>
      </c>
      <c r="T26" s="394">
        <f>'Nutrient Composition'!K10</f>
        <v>1.5307740249516166</v>
      </c>
      <c r="U26" s="13">
        <f>(T26*'ADC''s, HSB'!L25)/100</f>
        <v>1.2695841431740076</v>
      </c>
      <c r="V26" s="394">
        <f>'Nutrient Composition'!L10</f>
        <v>2.8209978459822653</v>
      </c>
      <c r="W26" s="13">
        <f>(V26*'ADC''s, HSB'!M25)/100</f>
        <v>2.2322021755761114</v>
      </c>
      <c r="X26" s="394">
        <f>'Nutrient Composition'!M10</f>
        <v>4.8110040784193675</v>
      </c>
      <c r="Y26" s="13">
        <f>(X26*'ADC''s, HSB'!N25)/100</f>
        <v>4.4040440129605649</v>
      </c>
      <c r="Z26" s="394">
        <f>'Nutrient Composition'!N10</f>
        <v>4.9859496812709798</v>
      </c>
      <c r="AA26" s="13">
        <f>(Z26*'ADC''s, HSB'!O25)/100</f>
        <v>4.5324473835825243</v>
      </c>
      <c r="AB26" s="394">
        <f>'Nutrient Composition'!O10</f>
        <v>1.8915993308330694</v>
      </c>
      <c r="AC26" s="13">
        <f>(AB26*'ADC''s, HSB'!P25)/100</f>
        <v>1.5673859128314276</v>
      </c>
      <c r="AD26" s="394">
        <f>'Nutrient Composition'!P10</f>
        <v>2.7225909443782328</v>
      </c>
      <c r="AE26" s="13">
        <f>(AD26*'ADC''s, HSB'!Q25)/100</f>
        <v>2.4330128470808536</v>
      </c>
      <c r="AF26" s="394">
        <f>'Nutrient Composition'!Q10</f>
        <v>3.4442415561411379</v>
      </c>
      <c r="AG26" s="195" t="s">
        <v>212</v>
      </c>
      <c r="AH26" s="29">
        <f>'Nutrient Composition'!R10</f>
        <v>2.5476453415266196</v>
      </c>
      <c r="AI26" s="13">
        <f>(AH26*'ADC''s, HSB'!R25)/100</f>
        <v>2.3199292785970793</v>
      </c>
      <c r="AJ26" s="394">
        <f>'Nutrient Composition'!S10</f>
        <v>2.8209978459822653</v>
      </c>
      <c r="AK26" s="13">
        <f>(AJ26*'ADC''s, HSB'!S25)/100</f>
        <v>2.4759195145371073</v>
      </c>
      <c r="AL26" s="394">
        <f>'Nutrient Composition'!T10</f>
        <v>2.2852269372491993</v>
      </c>
      <c r="AM26" s="13">
        <f>(AL26*'ADC''s, HSB'!T25)/100</f>
        <v>1.9762055000864072</v>
      </c>
      <c r="AN26" s="394">
        <f>'Nutrient Composition'!U10</f>
        <v>3.2802300534677502</v>
      </c>
      <c r="AO26" s="13">
        <f>(AN26*'ADC''s, HSB'!U25)/100</f>
        <v>2.6251275177445694</v>
      </c>
      <c r="AP26" s="394">
        <f>'Nutrient Composition'!V10</f>
        <v>62.90387832533321</v>
      </c>
      <c r="AQ26" s="13">
        <f>(AP26*'ADC''s, HSB'!V25)/100</f>
        <v>53.630766397114549</v>
      </c>
      <c r="AR26" s="406" t="s">
        <v>212</v>
      </c>
      <c r="AS26" s="407" t="s">
        <v>212</v>
      </c>
      <c r="AT26" s="408" t="s">
        <v>212</v>
      </c>
      <c r="AU26" s="409" t="s">
        <v>212</v>
      </c>
      <c r="AV26" s="408" t="s">
        <v>212</v>
      </c>
      <c r="AW26" s="408" t="s">
        <v>212</v>
      </c>
      <c r="AX26" s="408" t="s">
        <v>212</v>
      </c>
      <c r="AY26" s="408" t="s">
        <v>212</v>
      </c>
      <c r="AZ26" s="410" t="s">
        <v>212</v>
      </c>
      <c r="BA26" s="411" t="s">
        <v>212</v>
      </c>
      <c r="BB26" s="408" t="s">
        <v>212</v>
      </c>
      <c r="BC26" s="408" t="s">
        <v>212</v>
      </c>
      <c r="BD26" s="408" t="s">
        <v>212</v>
      </c>
      <c r="BE26" s="412" t="s">
        <v>212</v>
      </c>
      <c r="BF26" s="52"/>
    </row>
    <row r="27" spans="1:58">
      <c r="A27" s="335" t="s">
        <v>194</v>
      </c>
      <c r="B27" s="51">
        <f>'Nutrient Composition'!B12</f>
        <v>94.19</v>
      </c>
      <c r="C27" s="129">
        <f>(B27*'ADC''s, HSB'!C26)/100</f>
        <v>92.140287530719505</v>
      </c>
      <c r="D27" s="197" t="s">
        <v>212</v>
      </c>
      <c r="E27" s="195" t="s">
        <v>212</v>
      </c>
      <c r="F27" s="147">
        <f>'Nutrient Composition'!D12</f>
        <v>71.849453232827258</v>
      </c>
      <c r="G27" s="129">
        <f>(F27*'ADC''s, HSB'!E26)/100</f>
        <v>61.988726635314094</v>
      </c>
      <c r="H27" s="391">
        <f>'Nutrient Composition'!E12</f>
        <v>5511.8908589022185</v>
      </c>
      <c r="I27" s="128">
        <f>(H27*'ADC''s, HSB'!F26)/100</f>
        <v>5511.8908589022185</v>
      </c>
      <c r="J27" s="147">
        <f>'Nutrient Composition'!F12</f>
        <v>4.2361184839154902</v>
      </c>
      <c r="K27" s="129">
        <f>(J27*'ADC''s, HSB'!G26)/100</f>
        <v>4.2108668207341227</v>
      </c>
      <c r="L27" s="147">
        <f>'Nutrient Composition'!G12</f>
        <v>5.0005308419152774</v>
      </c>
      <c r="M27" s="129">
        <f>(L27*'ADC''s, HSB'!H26)/100</f>
        <v>5.0005308419152774</v>
      </c>
      <c r="N27" s="147">
        <f>'Nutrient Composition'!H12</f>
        <v>6.1046820256927488</v>
      </c>
      <c r="O27" s="129">
        <f>(N27*'ADC''s, HSB'!I26)/100</f>
        <v>6.1046820256927496</v>
      </c>
      <c r="P27" s="394">
        <f>'Nutrient Composition'!I12</f>
        <v>8.5040874827476376</v>
      </c>
      <c r="Q27" s="13">
        <f>(P27*'ADC''s, HSB'!J26)/100</f>
        <v>8.5040874827476376</v>
      </c>
      <c r="R27" s="394">
        <f>'Nutrient Composition'!J12</f>
        <v>4.1724174540821748</v>
      </c>
      <c r="S27" s="13">
        <f>(R27*'ADC''s, HSB'!K26)/100</f>
        <v>4.1724174540821748</v>
      </c>
      <c r="T27" s="394">
        <f>'Nutrient Composition'!K12</f>
        <v>2.4418728102770992</v>
      </c>
      <c r="U27" s="13">
        <f>(T27*'ADC''s, HSB'!L26)/100</f>
        <v>2.4418728102770992</v>
      </c>
      <c r="V27" s="394">
        <f>'Nutrient Composition'!L12</f>
        <v>3.0682662703047034</v>
      </c>
      <c r="W27" s="13">
        <f>(V27*'ADC''s, HSB'!M26)/100</f>
        <v>2.9673574614433416</v>
      </c>
      <c r="X27" s="394">
        <f>'Nutrient Composition'!M12</f>
        <v>5.1916339314152244</v>
      </c>
      <c r="Y27" s="13">
        <f>(X27*'ADC''s, HSB'!N26)/100</f>
        <v>5.1916339314152244</v>
      </c>
      <c r="Z27" s="394">
        <f>'Nutrient Composition'!N12</f>
        <v>5.4039706975262769</v>
      </c>
      <c r="AA27" s="13">
        <f>(Z27*'ADC''s, HSB'!O26)/100</f>
        <v>5.4039706975262769</v>
      </c>
      <c r="AB27" s="394">
        <f>'Nutrient Composition'!O12</f>
        <v>1.9853487631383375</v>
      </c>
      <c r="AC27" s="13">
        <f>(AB27*'ADC''s, HSB'!P26)/100</f>
        <v>1.8672613115694177</v>
      </c>
      <c r="AD27" s="394">
        <f>'Nutrient Composition'!P12</f>
        <v>2.8771631808047564</v>
      </c>
      <c r="AE27" s="13">
        <f>(AD27*'ADC''s, HSB'!Q26)/100</f>
        <v>2.877163180804756</v>
      </c>
      <c r="AF27" s="394">
        <f>'Nutrient Composition'!Q12</f>
        <v>3.0045652404713876</v>
      </c>
      <c r="AG27" s="195" t="s">
        <v>212</v>
      </c>
      <c r="AH27" s="29">
        <f>'Nutrient Composition'!R12</f>
        <v>2.8028453126658883</v>
      </c>
      <c r="AI27" s="13">
        <f>(AH27*'ADC''s, HSB'!R26)/100</f>
        <v>2.722744617749929</v>
      </c>
      <c r="AJ27" s="394">
        <f>'Nutrient Composition'!S12</f>
        <v>3.0151820787769403</v>
      </c>
      <c r="AK27" s="13">
        <f>(AJ27*'ADC''s, HSB'!S26)/100</f>
        <v>3.0151820787769399</v>
      </c>
      <c r="AL27" s="394">
        <f>'Nutrient Composition'!T12</f>
        <v>2.4631064868882047</v>
      </c>
      <c r="AM27" s="13">
        <f>(AL27*'ADC''s, HSB'!T26)/100</f>
        <v>2.4631064868882047</v>
      </c>
      <c r="AN27" s="394">
        <f>'Nutrient Composition'!U12</f>
        <v>3.6203418621934391</v>
      </c>
      <c r="AO27" s="13">
        <f>(AN27*'ADC''s, HSB'!U26)/100</f>
        <v>3.6203418621934391</v>
      </c>
      <c r="AP27" s="394">
        <f>'Nutrient Composition'!V12</f>
        <v>63.892132922815598</v>
      </c>
      <c r="AQ27" s="13">
        <f>(AP27*'ADC''s, HSB'!V26)/100</f>
        <v>63.351576814393368</v>
      </c>
      <c r="AR27" s="406" t="s">
        <v>212</v>
      </c>
      <c r="AS27" s="407" t="s">
        <v>212</v>
      </c>
      <c r="AT27" s="408" t="s">
        <v>212</v>
      </c>
      <c r="AU27" s="409" t="s">
        <v>212</v>
      </c>
      <c r="AV27" s="408" t="s">
        <v>212</v>
      </c>
      <c r="AW27" s="408" t="s">
        <v>212</v>
      </c>
      <c r="AX27" s="408" t="s">
        <v>212</v>
      </c>
      <c r="AY27" s="408" t="s">
        <v>212</v>
      </c>
      <c r="AZ27" s="163" t="s">
        <v>212</v>
      </c>
      <c r="BA27" s="349" t="s">
        <v>212</v>
      </c>
      <c r="BB27" s="20" t="s">
        <v>212</v>
      </c>
      <c r="BC27" s="20" t="s">
        <v>212</v>
      </c>
      <c r="BD27" s="20" t="s">
        <v>212</v>
      </c>
      <c r="BE27" s="304" t="s">
        <v>212</v>
      </c>
      <c r="BF27" s="52"/>
    </row>
    <row r="28" spans="1:58">
      <c r="A28" s="280" t="s">
        <v>47</v>
      </c>
      <c r="B28" s="51">
        <f>'Nutrient Composition'!B13</f>
        <v>89.49</v>
      </c>
      <c r="C28" s="129">
        <f>(B28*'ADC''s, HSB'!C27)/100</f>
        <v>69.877657899545497</v>
      </c>
      <c r="D28" s="197" t="s">
        <v>212</v>
      </c>
      <c r="E28" s="195" t="s">
        <v>212</v>
      </c>
      <c r="F28" s="147">
        <f>'Nutrient Composition'!D13</f>
        <v>96.445412895295576</v>
      </c>
      <c r="G28" s="129">
        <f>(F28*'ADC''s, HSB'!E27)/100</f>
        <v>54.560576021043396</v>
      </c>
      <c r="H28" s="391">
        <f>'Nutrient Composition'!E13</f>
        <v>6233.1880657056663</v>
      </c>
      <c r="I28" s="128">
        <f>(H28*'ADC''s, HSB'!F27)/100</f>
        <v>4192.4652574837883</v>
      </c>
      <c r="J28" s="147">
        <f>'Nutrient Composition'!F13</f>
        <v>7.4645211755503409</v>
      </c>
      <c r="K28" s="129">
        <f>(J28*'ADC''s, HSB'!G27)/100</f>
        <v>4.2532366819055634</v>
      </c>
      <c r="L28" s="147">
        <f>'Nutrient Composition'!G13</f>
        <v>5.3637277908146164</v>
      </c>
      <c r="M28" s="129">
        <f>(L28*'ADC''s, HSB'!H27)/100</f>
        <v>4.1229731303604202</v>
      </c>
      <c r="N28" s="147">
        <f>'Nutrient Composition'!H13</f>
        <v>9.7217566208514921</v>
      </c>
      <c r="O28" s="129">
        <f>(N28*'ADC''s, HSB'!I27)/100</f>
        <v>6.8565151609928083</v>
      </c>
      <c r="P28" s="394">
        <f>'Nutrient Composition'!I13</f>
        <v>8.0679405520169851</v>
      </c>
      <c r="Q28" s="13">
        <f>(P28*'ADC''s, HSB'!J27)/100</f>
        <v>5.6439998667676194</v>
      </c>
      <c r="R28" s="394">
        <f>'Nutrient Composition'!J13</f>
        <v>4.011621410213432</v>
      </c>
      <c r="S28" s="13">
        <f>(R28*'ADC''s, HSB'!K27)/100</f>
        <v>2.6266742394796574</v>
      </c>
      <c r="T28" s="394">
        <f>'Nutrient Composition'!K13</f>
        <v>5.4084255224047384</v>
      </c>
      <c r="U28" s="13">
        <f>(T28*'ADC''s, HSB'!L27)/100</f>
        <v>2.8597297514906832</v>
      </c>
      <c r="V28" s="394">
        <f>'Nutrient Composition'!L13</f>
        <v>1.039222259470332</v>
      </c>
      <c r="W28" s="13">
        <f>(V28*'ADC''s, HSB'!M27)/100</f>
        <v>0.60527784036771548</v>
      </c>
      <c r="X28" s="394">
        <f>'Nutrient Composition'!M13</f>
        <v>12.403620516258801</v>
      </c>
      <c r="Y28" s="13">
        <f>(X28*'ADC''s, HSB'!N27)/100</f>
        <v>7.5606895036218305</v>
      </c>
      <c r="Z28" s="394">
        <f>'Nutrient Composition'!N13</f>
        <v>8.8613252877416482</v>
      </c>
      <c r="AA28" s="13">
        <f>(Z28*'ADC''s, HSB'!O27)/100</f>
        <v>6.0243180854749028</v>
      </c>
      <c r="AB28" s="394">
        <f>'Nutrient Composition'!O13</f>
        <v>1.530897306961672</v>
      </c>
      <c r="AC28" s="13">
        <f>(AB28*'ADC''s, HSB'!P27)/100</f>
        <v>0.8206555662700119</v>
      </c>
      <c r="AD28" s="394">
        <f>'Nutrient Composition'!P13</f>
        <v>7.3863001452676285</v>
      </c>
      <c r="AE28" s="13">
        <f>(AD28*'ADC''s, HSB'!Q27)/100</f>
        <v>4.4946712020605615</v>
      </c>
      <c r="AF28" s="394">
        <f>'Nutrient Composition'!Q13</f>
        <v>4.0339702760084926</v>
      </c>
      <c r="AG28" s="195" t="s">
        <v>212</v>
      </c>
      <c r="AH28" s="29">
        <f>'Nutrient Composition'!R13</f>
        <v>5.2519834618393126</v>
      </c>
      <c r="AI28" s="13">
        <f>(AH28*'ADC''s, HSB'!R27)/100</f>
        <v>4.073079800684301</v>
      </c>
      <c r="AJ28" s="394">
        <f>'Nutrient Composition'!S13</f>
        <v>5.3078556263269645</v>
      </c>
      <c r="AK28" s="13">
        <f>(AJ28*'ADC''s, HSB'!S27)/100</f>
        <v>3.512046468847422</v>
      </c>
      <c r="AL28" s="394">
        <f>'Nutrient Composition'!T13</f>
        <v>3.4305508995418483</v>
      </c>
      <c r="AM28" s="13">
        <f>(AL28*'ADC''s, HSB'!T27)/100</f>
        <v>2.2557786710316581</v>
      </c>
      <c r="AN28" s="394">
        <f>'Nutrient Composition'!U13</f>
        <v>8.2690803441725347</v>
      </c>
      <c r="AO28" s="13">
        <f>(AN28*'ADC''s, HSB'!U27)/100</f>
        <v>3.3397598149766088</v>
      </c>
      <c r="AP28" s="394">
        <f>'Nutrient Composition'!V13</f>
        <v>97.552799195440841</v>
      </c>
      <c r="AQ28" s="13">
        <f>(AP28*'ADC''s, HSB'!V27)/100</f>
        <v>61.405433428372355</v>
      </c>
      <c r="AR28" s="406" t="s">
        <v>212</v>
      </c>
      <c r="AS28" s="407" t="s">
        <v>212</v>
      </c>
      <c r="AT28" s="408" t="s">
        <v>212</v>
      </c>
      <c r="AU28" s="409" t="s">
        <v>212</v>
      </c>
      <c r="AV28" s="408" t="s">
        <v>212</v>
      </c>
      <c r="AW28" s="408" t="s">
        <v>212</v>
      </c>
      <c r="AX28" s="408" t="s">
        <v>212</v>
      </c>
      <c r="AY28" s="408" t="s">
        <v>212</v>
      </c>
      <c r="AZ28" s="410" t="s">
        <v>212</v>
      </c>
      <c r="BA28" s="411" t="s">
        <v>212</v>
      </c>
      <c r="BB28" s="408" t="s">
        <v>212</v>
      </c>
      <c r="BC28" s="408" t="s">
        <v>212</v>
      </c>
      <c r="BD28" s="408" t="s">
        <v>212</v>
      </c>
      <c r="BE28" s="412" t="s">
        <v>212</v>
      </c>
      <c r="BF28" s="52"/>
    </row>
    <row r="29" spans="1:58">
      <c r="A29" s="280" t="s">
        <v>41</v>
      </c>
      <c r="B29" s="51">
        <f>'Nutrient Composition'!B14</f>
        <v>94.53</v>
      </c>
      <c r="C29" s="129">
        <f>(B29*'ADC''s, HSB'!C28)/100</f>
        <v>89.567509399820068</v>
      </c>
      <c r="D29" s="197" t="s">
        <v>212</v>
      </c>
      <c r="E29" s="195" t="s">
        <v>212</v>
      </c>
      <c r="F29" s="147">
        <f>'Nutrient Composition'!D14</f>
        <v>87.379667830318411</v>
      </c>
      <c r="G29" s="129">
        <f>(F29*'ADC''s, HSB'!E28)/100</f>
        <v>52.261916816592048</v>
      </c>
      <c r="H29" s="391">
        <f>'Nutrient Composition'!E14</f>
        <v>6422.1834338305298</v>
      </c>
      <c r="I29" s="128">
        <f>(H29*'ADC''s, HSB'!F28)/100</f>
        <v>5396.2531998404538</v>
      </c>
      <c r="J29" s="147">
        <f>'Nutrient Composition'!F14</f>
        <v>3.6919496456151486</v>
      </c>
      <c r="K29" s="129">
        <f>(J29*'ADC''s, HSB'!G28)/100</f>
        <v>2.4257879180365696</v>
      </c>
      <c r="L29" s="147">
        <f>'Nutrient Composition'!G14</f>
        <v>7.1934835501957046</v>
      </c>
      <c r="M29" s="129">
        <f>(L29*'ADC''s, HSB'!H28)/100</f>
        <v>5.4957092359355624</v>
      </c>
      <c r="N29" s="147">
        <f>'Nutrient Composition'!H14</f>
        <v>5.2575901830106844</v>
      </c>
      <c r="O29" s="129">
        <f>(N29*'ADC''s, HSB'!I28)/100</f>
        <v>2.9749067916440803</v>
      </c>
      <c r="P29" s="394">
        <f>'Nutrient Composition'!I14</f>
        <v>7.3310060298317987</v>
      </c>
      <c r="Q29" s="13">
        <f>(P29*'ADC''s, HSB'!J28)/100</f>
        <v>3.4441250255504792</v>
      </c>
      <c r="R29" s="394">
        <f>'Nutrient Composition'!J14</f>
        <v>6.4212419337776367</v>
      </c>
      <c r="S29" s="13">
        <f>(R29*'ADC''s, HSB'!K28)/100</f>
        <v>3.7218654874881092</v>
      </c>
      <c r="T29" s="394">
        <f>'Nutrient Composition'!K14</f>
        <v>0.57124722310377662</v>
      </c>
      <c r="U29" s="13">
        <f>(T29*'ADC''s, HSB'!L28)/100</f>
        <v>0.24480172906471931</v>
      </c>
      <c r="V29" s="394">
        <f>'Nutrient Composition'!L14</f>
        <v>4.0516238231249337</v>
      </c>
      <c r="W29" s="13">
        <f>(V29*'ADC''s, HSB'!M28)/100</f>
        <v>2.43897471688503</v>
      </c>
      <c r="X29" s="394">
        <f>'Nutrient Composition'!M14</f>
        <v>6.8549666772453195</v>
      </c>
      <c r="Y29" s="13">
        <f>(X29*'ADC''s, HSB'!N28)/100</f>
        <v>4.6065343326820933</v>
      </c>
      <c r="Z29" s="394">
        <f>'Nutrient Composition'!N14</f>
        <v>1.2905955781233469</v>
      </c>
      <c r="AA29" s="13">
        <f>(Z29*'ADC''s, HSB'!O28)/100</f>
        <v>0.97218217207376934</v>
      </c>
      <c r="AB29" s="394">
        <f>'Nutrient Composition'!O14</f>
        <v>0.5183539617052787</v>
      </c>
      <c r="AC29" s="13">
        <f>(AB29*'ADC''s, HSB'!P28)/100</f>
        <v>0.22917126620061343</v>
      </c>
      <c r="AD29" s="394">
        <f>'Nutrient Composition'!P14</f>
        <v>4.5170845234317145</v>
      </c>
      <c r="AE29" s="13">
        <f>(AD29*'ADC''s, HSB'!Q28)/100</f>
        <v>3.1900076049716986</v>
      </c>
      <c r="AF29" s="394">
        <f>'Nutrient Composition'!Q14</f>
        <v>10.134348883952184</v>
      </c>
      <c r="AG29" s="195" t="s">
        <v>212</v>
      </c>
      <c r="AH29" s="29">
        <f>'Nutrient Composition'!R14</f>
        <v>9.2880567015762185</v>
      </c>
      <c r="AI29" s="13">
        <f>(AH29*'ADC''s, HSB'!R28)/100</f>
        <v>6.9901290123381292</v>
      </c>
      <c r="AJ29" s="394">
        <f>'Nutrient Composition'!S14</f>
        <v>3.9458373003279381</v>
      </c>
      <c r="AK29" s="13">
        <f>(AJ29*'ADC''s, HSB'!S28)/100</f>
        <v>2.4368017351071232</v>
      </c>
      <c r="AL29" s="394">
        <f>'Nutrient Composition'!T14</f>
        <v>2.7716068972812864</v>
      </c>
      <c r="AM29" s="13">
        <f>(AL29*'ADC''s, HSB'!T28)/100</f>
        <v>1.8640794721020728</v>
      </c>
      <c r="AN29" s="394">
        <f>'Nutrient Composition'!U14</f>
        <v>6.7068655453295243</v>
      </c>
      <c r="AO29" s="13">
        <f>(AN29*'ADC''s, HSB'!U28)/100</f>
        <v>3.6572966773659901</v>
      </c>
      <c r="AP29" s="394">
        <f>'Nutrient Composition'!V14</f>
        <v>80.545858457632491</v>
      </c>
      <c r="AQ29" s="13">
        <f>(AP29*'ADC''s, HSB'!V28)/100</f>
        <v>49.554101314935593</v>
      </c>
      <c r="AR29" s="406" t="s">
        <v>212</v>
      </c>
      <c r="AS29" s="407" t="s">
        <v>212</v>
      </c>
      <c r="AT29" s="408" t="s">
        <v>212</v>
      </c>
      <c r="AU29" s="409" t="s">
        <v>212</v>
      </c>
      <c r="AV29" s="408" t="s">
        <v>212</v>
      </c>
      <c r="AW29" s="408" t="s">
        <v>212</v>
      </c>
      <c r="AX29" s="408" t="s">
        <v>212</v>
      </c>
      <c r="AY29" s="408" t="s">
        <v>212</v>
      </c>
      <c r="AZ29" s="163" t="s">
        <v>212</v>
      </c>
      <c r="BA29" s="349" t="s">
        <v>212</v>
      </c>
      <c r="BB29" s="20" t="s">
        <v>212</v>
      </c>
      <c r="BC29" s="20" t="s">
        <v>212</v>
      </c>
      <c r="BD29" s="20" t="s">
        <v>212</v>
      </c>
      <c r="BE29" s="304" t="s">
        <v>212</v>
      </c>
      <c r="BF29" s="52"/>
    </row>
    <row r="30" spans="1:58">
      <c r="A30" s="280" t="s">
        <v>48</v>
      </c>
      <c r="B30" s="51">
        <f>'Nutrient Composition'!B15</f>
        <v>96.025000000000006</v>
      </c>
      <c r="C30" s="129">
        <f>(B30*'ADC''s, HSB'!C29)/100</f>
        <v>76.658877407215556</v>
      </c>
      <c r="D30" s="197" t="s">
        <v>212</v>
      </c>
      <c r="E30" s="195" t="s">
        <v>212</v>
      </c>
      <c r="F30" s="147">
        <f>'Nutrient Composition'!D15</f>
        <v>66.394168185368386</v>
      </c>
      <c r="G30" s="129">
        <f>(F30*'ADC''s, HSB'!E29)/100</f>
        <v>42.858092764879586</v>
      </c>
      <c r="H30" s="391">
        <f>'Nutrient Composition'!E15</f>
        <v>5621.994272324916</v>
      </c>
      <c r="I30" s="128">
        <f>(H30*'ADC''s, HSB'!F29)/100</f>
        <v>5289.7912087108598</v>
      </c>
      <c r="J30" s="147">
        <f>'Nutrient Composition'!F15</f>
        <v>4.3322051549075757</v>
      </c>
      <c r="K30" s="129">
        <f>(J30*'ADC''s, HSB'!G29)/100</f>
        <v>3.2066177312666055</v>
      </c>
      <c r="L30" s="147">
        <f>'Nutrient Composition'!G15</f>
        <v>5.5089820359281436</v>
      </c>
      <c r="M30" s="129">
        <f>(L30*'ADC''s, HSB'!H29)/100</f>
        <v>4.4658596565126647</v>
      </c>
      <c r="N30" s="147">
        <f>'Nutrient Composition'!H15</f>
        <v>5.1965633949492318</v>
      </c>
      <c r="O30" s="129">
        <f>(N30*'ADC''s, HSB'!I29)/100</f>
        <v>2.8085703985944948</v>
      </c>
      <c r="P30" s="394">
        <f>'Nutrient Composition'!I15</f>
        <v>8.3519916688362397</v>
      </c>
      <c r="Q30" s="13">
        <f>(P30*'ADC''s, HSB'!J29)/100</f>
        <v>6.2842245941567692</v>
      </c>
      <c r="R30" s="394">
        <f>'Nutrient Composition'!J15</f>
        <v>6.2067170007810466</v>
      </c>
      <c r="S30" s="13">
        <f>(R30*'ADC''s, HSB'!K29)/100</f>
        <v>4.1755698530163743</v>
      </c>
      <c r="T30" s="394">
        <f>'Nutrient Composition'!K15</f>
        <v>1.3329862015100233</v>
      </c>
      <c r="U30" s="13">
        <f>(T30*'ADC''s, HSB'!L29)/100</f>
        <v>0.78659575999509967</v>
      </c>
      <c r="V30" s="394">
        <f>'Nutrient Composition'!L15</f>
        <v>2.6034886748242645</v>
      </c>
      <c r="W30" s="13">
        <f>(V30*'ADC''s, HSB'!M29)/100</f>
        <v>1.4302253090815846</v>
      </c>
      <c r="X30" s="394">
        <f>'Nutrient Composition'!M15</f>
        <v>4.6342098411871904</v>
      </c>
      <c r="Y30" s="13">
        <f>(X30*'ADC''s, HSB'!N29)/100</f>
        <v>3.4234941812544033</v>
      </c>
      <c r="Z30" s="394">
        <f>'Nutrient Composition'!N15</f>
        <v>3.9156469669356935</v>
      </c>
      <c r="AA30" s="13">
        <f>(Z30*'ADC''s, HSB'!O29)/100</f>
        <v>2.7995223190045211</v>
      </c>
      <c r="AB30" s="394">
        <f>'Nutrient Composition'!O15</f>
        <v>1.3746420203072116</v>
      </c>
      <c r="AC30" s="13">
        <f>(AB30*'ADC''s, HSB'!P29)/100</f>
        <v>0.93274342513755637</v>
      </c>
      <c r="AD30" s="394">
        <f>'Nutrient Composition'!P15</f>
        <v>2.6659724030200467</v>
      </c>
      <c r="AE30" s="13">
        <f>(AD30*'ADC''s, HSB'!Q29)/100</f>
        <v>1.9704381685828729</v>
      </c>
      <c r="AF30" s="394">
        <f>'Nutrient Composition'!Q15</f>
        <v>4.2072376985160114</v>
      </c>
      <c r="AG30" s="195" t="s">
        <v>212</v>
      </c>
      <c r="AH30" s="29">
        <f>'Nutrient Composition'!R15</f>
        <v>2.5618328560270762</v>
      </c>
      <c r="AI30" s="13">
        <f>(AH30*'ADC''s, HSB'!R29)/100</f>
        <v>1.9661733286877694</v>
      </c>
      <c r="AJ30" s="394">
        <f>'Nutrient Composition'!S15</f>
        <v>2.6243165842228584</v>
      </c>
      <c r="AK30" s="13">
        <f>(AJ30*'ADC''s, HSB'!S29)/100</f>
        <v>1.8726300267989284</v>
      </c>
      <c r="AL30" s="394">
        <f>'Nutrient Composition'!T15</f>
        <v>2.1661025774537879</v>
      </c>
      <c r="AM30" s="13">
        <f>(AL30*'ADC''s, HSB'!T29)/100</f>
        <v>1.5998633672611522</v>
      </c>
      <c r="AN30" s="394">
        <f>'Nutrient Composition'!U15</f>
        <v>3.1346003644884139</v>
      </c>
      <c r="AO30" s="13">
        <f>(AN30*'ADC''s, HSB'!U29)/100</f>
        <v>1.9351930714754717</v>
      </c>
      <c r="AP30" s="394">
        <f>'Nutrient Composition'!V15</f>
        <v>60.817495443894821</v>
      </c>
      <c r="AQ30" s="13">
        <f>(AP30*'ADC''s, HSB'!V29)/100</f>
        <v>42.021957164961051</v>
      </c>
      <c r="AR30" s="406" t="s">
        <v>212</v>
      </c>
      <c r="AS30" s="407" t="s">
        <v>212</v>
      </c>
      <c r="AT30" s="408" t="s">
        <v>212</v>
      </c>
      <c r="AU30" s="409" t="s">
        <v>212</v>
      </c>
      <c r="AV30" s="408" t="s">
        <v>212</v>
      </c>
      <c r="AW30" s="408" t="s">
        <v>212</v>
      </c>
      <c r="AX30" s="408" t="s">
        <v>212</v>
      </c>
      <c r="AY30" s="408" t="s">
        <v>212</v>
      </c>
      <c r="AZ30" s="410" t="s">
        <v>212</v>
      </c>
      <c r="BA30" s="411" t="s">
        <v>212</v>
      </c>
      <c r="BB30" s="408" t="s">
        <v>212</v>
      </c>
      <c r="BC30" s="408" t="s">
        <v>212</v>
      </c>
      <c r="BD30" s="408" t="s">
        <v>212</v>
      </c>
      <c r="BE30" s="412" t="s">
        <v>212</v>
      </c>
      <c r="BF30" s="52"/>
    </row>
    <row r="31" spans="1:58">
      <c r="A31" s="280" t="s">
        <v>52</v>
      </c>
      <c r="B31" s="51">
        <f>'Nutrient Composition'!B26</f>
        <v>88.87</v>
      </c>
      <c r="C31" s="129">
        <f>(B31*'ADC''s, HSB'!C30)/100</f>
        <v>23.620711620579737</v>
      </c>
      <c r="D31" s="197" t="s">
        <v>212</v>
      </c>
      <c r="E31" s="195" t="s">
        <v>212</v>
      </c>
      <c r="F31" s="147">
        <f>'Nutrient Composition'!D26</f>
        <v>20.743783053898952</v>
      </c>
      <c r="G31" s="129">
        <f>(F31*'ADC''s, HSB'!E30)/100</f>
        <v>10.292663901139413</v>
      </c>
      <c r="H31" s="391">
        <f>'Nutrient Composition'!E26</f>
        <v>4684.9330482727573</v>
      </c>
      <c r="I31" s="128">
        <f>(H31*'ADC''s, HSB'!F30)/100</f>
        <v>1812.9523452691717</v>
      </c>
      <c r="J31" s="147">
        <f>'Nutrient Composition'!F26</f>
        <v>0.78316642286485871</v>
      </c>
      <c r="K31" s="129">
        <f>(J31*'ADC''s, HSB'!G30)/100</f>
        <v>0.70070300810674868</v>
      </c>
      <c r="L31" s="147">
        <f>'Nutrient Composition'!G26</f>
        <v>1.412175087206031</v>
      </c>
      <c r="M31" s="129">
        <f>(L31*'ADC''s, HSB'!H30)/100</f>
        <v>1.412175087206031</v>
      </c>
      <c r="N31" s="147">
        <f>'Nutrient Composition'!H26</f>
        <v>1.2512658940024757</v>
      </c>
      <c r="O31" s="129">
        <f>(N31*'ADC''s, HSB'!I30)/100</f>
        <v>1.2512658940024757</v>
      </c>
      <c r="P31" s="394">
        <f>'Nutrient Composition'!I26</f>
        <v>3.0741532575672332</v>
      </c>
      <c r="Q31" s="13">
        <f>(P31*'ADC''s, HSB'!J30)/100</f>
        <v>3.0741532575672337</v>
      </c>
      <c r="R31" s="394">
        <f>'Nutrient Composition'!J26</f>
        <v>0.87431079104309661</v>
      </c>
      <c r="S31" s="13">
        <f>(R31*'ADC''s, HSB'!K30)/100</f>
        <v>0.87431079104309661</v>
      </c>
      <c r="T31" s="394">
        <f>'Nutrient Composition'!K26</f>
        <v>0.45572184089118939</v>
      </c>
      <c r="U31" s="13">
        <f>(T31*'ADC''s, HSB'!L30)/100</f>
        <v>0.45572184089118939</v>
      </c>
      <c r="V31" s="394">
        <f>'Nutrient Composition'!L26</f>
        <v>0.60200292562169466</v>
      </c>
      <c r="W31" s="13">
        <f>(V31*'ADC''s, HSB'!M30)/100</f>
        <v>0.53952896187557153</v>
      </c>
      <c r="X31" s="394">
        <f>'Nutrient Composition'!M26</f>
        <v>1.1252391133115787</v>
      </c>
      <c r="Y31" s="13">
        <f>(X31*'ADC''s, HSB'!N30)/100</f>
        <v>1.1252391133115787</v>
      </c>
      <c r="Z31" s="394">
        <f>'Nutrient Composition'!N26</f>
        <v>0.65939012040058509</v>
      </c>
      <c r="AA31" s="13">
        <f>(Z31*'ADC''s, HSB'!O30)/100</f>
        <v>0.6593901204005852</v>
      </c>
      <c r="AB31" s="394">
        <f>'Nutrient Composition'!O26</f>
        <v>0.19804208394283784</v>
      </c>
      <c r="AC31" s="13">
        <f>(AB31*'ADC''s, HSB'!P30)/100</f>
        <v>7.6763997687585329E-3</v>
      </c>
      <c r="AD31" s="394">
        <f>'Nutrient Composition'!P26</f>
        <v>0.76291211882525034</v>
      </c>
      <c r="AE31" s="13">
        <f>(AD31*'ADC''s, HSB'!Q30)/100</f>
        <v>0.6972518577108755</v>
      </c>
      <c r="AF31" s="394">
        <f>'Nutrient Composition'!Q26</f>
        <v>1.1094857657252166</v>
      </c>
      <c r="AG31" s="195" t="s">
        <v>212</v>
      </c>
      <c r="AH31" s="29">
        <f>'Nutrient Composition'!R26</f>
        <v>0.67964442444019346</v>
      </c>
      <c r="AI31" s="13">
        <f>(AH31*'ADC''s, HSB'!R30)/100</f>
        <v>0.68067961450290926</v>
      </c>
      <c r="AJ31" s="394">
        <f>'Nutrient Composition'!S26</f>
        <v>0.59412625182851353</v>
      </c>
      <c r="AK31" s="13">
        <f>(AJ31*'ADC''s, HSB'!S30)/100</f>
        <v>0.59412625182851353</v>
      </c>
      <c r="AL31" s="394">
        <f>'Nutrient Composition'!T26</f>
        <v>0.57049623044897035</v>
      </c>
      <c r="AM31" s="13">
        <f>(AL31*'ADC''s, HSB'!T30)/100</f>
        <v>0.57049623044897035</v>
      </c>
      <c r="AN31" s="394">
        <f>'Nutrient Composition'!U26</f>
        <v>0.85855744345673457</v>
      </c>
      <c r="AO31" s="13">
        <f>(AN31*'ADC''s, HSB'!U30)/100</f>
        <v>0.83266651065467623</v>
      </c>
      <c r="AP31" s="394">
        <f>'Nutrient Composition'!V26</f>
        <v>15.010689771576457</v>
      </c>
      <c r="AQ31" s="13">
        <f>(AP31*'ADC''s, HSB'!V30)/100</f>
        <v>13.724765255149848</v>
      </c>
      <c r="AR31" s="406" t="s">
        <v>212</v>
      </c>
      <c r="AS31" s="407" t="s">
        <v>212</v>
      </c>
      <c r="AT31" s="408" t="s">
        <v>212</v>
      </c>
      <c r="AU31" s="409" t="s">
        <v>212</v>
      </c>
      <c r="AV31" s="408" t="s">
        <v>212</v>
      </c>
      <c r="AW31" s="408" t="s">
        <v>212</v>
      </c>
      <c r="AX31" s="408" t="s">
        <v>212</v>
      </c>
      <c r="AY31" s="408" t="s">
        <v>212</v>
      </c>
      <c r="AZ31" s="163" t="s">
        <v>212</v>
      </c>
      <c r="BA31" s="349" t="s">
        <v>212</v>
      </c>
      <c r="BB31" s="20" t="s">
        <v>212</v>
      </c>
      <c r="BC31" s="20" t="s">
        <v>212</v>
      </c>
      <c r="BD31" s="20" t="s">
        <v>212</v>
      </c>
      <c r="BE31" s="304" t="s">
        <v>212</v>
      </c>
      <c r="BF31" s="52"/>
    </row>
    <row r="32" spans="1:58">
      <c r="A32" s="335" t="s">
        <v>193</v>
      </c>
      <c r="B32" s="51">
        <f>'Nutrient Composition'!B11</f>
        <v>93.155000000000001</v>
      </c>
      <c r="C32" s="129">
        <f>(B32*'ADC''s, HSB'!C31)/100</f>
        <v>86.201964163995655</v>
      </c>
      <c r="D32" s="197" t="s">
        <v>212</v>
      </c>
      <c r="E32" s="195" t="s">
        <v>212</v>
      </c>
      <c r="F32" s="147">
        <f>'Nutrient Composition'!D11</f>
        <v>70.497557833717991</v>
      </c>
      <c r="G32" s="129">
        <f>(F32*'ADC''s, HSB'!E31)/100</f>
        <v>63.673075778274068</v>
      </c>
      <c r="H32" s="391">
        <f>'Nutrient Composition'!E11</f>
        <v>6647.3297192850623</v>
      </c>
      <c r="I32" s="128">
        <f>(H32*'ADC''s, HSB'!F31)/100</f>
        <v>6647.3297192850623</v>
      </c>
      <c r="J32" s="147">
        <f>'Nutrient Composition'!F11</f>
        <v>4.3046535344318606</v>
      </c>
      <c r="K32" s="129">
        <f>(J32*'ADC''s, HSB'!G31)/100</f>
        <v>4.3046535344318606</v>
      </c>
      <c r="L32" s="147">
        <f>'Nutrient Composition'!G11</f>
        <v>5.1312328914175298</v>
      </c>
      <c r="M32" s="129">
        <f>(L32*'ADC''s, HSB'!H31)/100</f>
        <v>5.1312328914175289</v>
      </c>
      <c r="N32" s="147">
        <f>'Nutrient Composition'!H11</f>
        <v>6.108099404218776</v>
      </c>
      <c r="O32" s="129">
        <f>(N32*'ADC''s, HSB'!I31)/100</f>
        <v>6.108099404218776</v>
      </c>
      <c r="P32" s="394">
        <f>'Nutrient Composition'!I11</f>
        <v>8.6844506467715092</v>
      </c>
      <c r="Q32" s="13">
        <f>(P32*'ADC''s, HSB'!J31)/100</f>
        <v>8.6844506467715092</v>
      </c>
      <c r="R32" s="394">
        <f>'Nutrient Composition'!J11</f>
        <v>4.3583275186517092</v>
      </c>
      <c r="S32" s="13">
        <f>(R32*'ADC''s, HSB'!K31)/100</f>
        <v>4.3583275186517092</v>
      </c>
      <c r="T32" s="394">
        <f>'Nutrient Composition'!K11</f>
        <v>1.8678546508507328</v>
      </c>
      <c r="U32" s="13">
        <f>(T32*'ADC''s, HSB'!L31)/100</f>
        <v>1.8678546508507328</v>
      </c>
      <c r="V32" s="394">
        <f>'Nutrient Composition'!L11</f>
        <v>3.0701518973753421</v>
      </c>
      <c r="W32" s="13">
        <f>(V32*'ADC''s, HSB'!M31)/100</f>
        <v>3.0701518973753421</v>
      </c>
      <c r="X32" s="394">
        <f>'Nutrient Composition'!M11</f>
        <v>5.1527024851054692</v>
      </c>
      <c r="Y32" s="13">
        <f>(X32*'ADC''s, HSB'!N31)/100</f>
        <v>5.1527024851054692</v>
      </c>
      <c r="Z32" s="394">
        <f>'Nutrient Composition'!N11</f>
        <v>5.2815200472331059</v>
      </c>
      <c r="AA32" s="13">
        <f>(Z32*'ADC''s, HSB'!O31)/100</f>
        <v>5.2815200472331059</v>
      </c>
      <c r="AB32" s="394">
        <f>'Nutrient Composition'!O11</f>
        <v>2.0074070098223391</v>
      </c>
      <c r="AC32" s="13">
        <f>(AB32*'ADC''s, HSB'!P31)/100</f>
        <v>1.8769776884080756</v>
      </c>
      <c r="AD32" s="394">
        <f>'Nutrient Composition'!P11</f>
        <v>2.8232515699640381</v>
      </c>
      <c r="AE32" s="13">
        <f>(AD32*'ADC''s, HSB'!Q31)/100</f>
        <v>2.8232515699640377</v>
      </c>
      <c r="AF32" s="394">
        <f>'Nutrient Composition'!Q11</f>
        <v>3.1238258815951911</v>
      </c>
      <c r="AG32" s="195" t="s">
        <v>212</v>
      </c>
      <c r="AH32" s="29">
        <f>'Nutrient Composition'!R11</f>
        <v>2.6729644141484625</v>
      </c>
      <c r="AI32" s="13">
        <f>(AH32*'ADC''s, HSB'!R31)/100</f>
        <v>2.6729644141484625</v>
      </c>
      <c r="AJ32" s="394">
        <f>'Nutrient Composition'!S11</f>
        <v>2.9842735226235844</v>
      </c>
      <c r="AK32" s="13">
        <f>(AJ32*'ADC''s, HSB'!S31)/100</f>
        <v>2.9842735226235844</v>
      </c>
      <c r="AL32" s="394">
        <f>'Nutrient Composition'!T11</f>
        <v>2.3294509151414311</v>
      </c>
      <c r="AM32" s="13">
        <f>(AL32*'ADC''s, HSB'!T31)/100</f>
        <v>2.3294509151414311</v>
      </c>
      <c r="AN32" s="394">
        <f>'Nutrient Composition'!U11</f>
        <v>3.5424829585100102</v>
      </c>
      <c r="AO32" s="13">
        <f>(AN32*'ADC''s, HSB'!U31)/100</f>
        <v>3.5424829585100097</v>
      </c>
      <c r="AP32" s="394">
        <f>'Nutrient Composition'!V11</f>
        <v>63.442649347861078</v>
      </c>
      <c r="AQ32" s="13">
        <f>(AP32*'ADC''s, HSB'!V31)/100</f>
        <v>63.167841044988243</v>
      </c>
      <c r="AR32" s="406" t="s">
        <v>212</v>
      </c>
      <c r="AS32" s="407" t="s">
        <v>212</v>
      </c>
      <c r="AT32" s="408" t="s">
        <v>212</v>
      </c>
      <c r="AU32" s="409" t="s">
        <v>212</v>
      </c>
      <c r="AV32" s="408" t="s">
        <v>212</v>
      </c>
      <c r="AW32" s="408" t="s">
        <v>212</v>
      </c>
      <c r="AX32" s="408" t="s">
        <v>212</v>
      </c>
      <c r="AY32" s="408" t="s">
        <v>212</v>
      </c>
      <c r="AZ32" s="410" t="s">
        <v>212</v>
      </c>
      <c r="BA32" s="411" t="s">
        <v>212</v>
      </c>
      <c r="BB32" s="408" t="s">
        <v>212</v>
      </c>
      <c r="BC32" s="408" t="s">
        <v>212</v>
      </c>
      <c r="BD32" s="408" t="s">
        <v>212</v>
      </c>
      <c r="BE32" s="412" t="s">
        <v>212</v>
      </c>
      <c r="BF32" s="52"/>
    </row>
    <row r="33" spans="1:64">
      <c r="A33" s="342"/>
      <c r="B33" s="29"/>
      <c r="C33" s="29"/>
      <c r="D33" s="135"/>
      <c r="E33" s="135"/>
      <c r="F33" s="29"/>
      <c r="G33" s="39"/>
      <c r="H33" s="26"/>
      <c r="I33" s="26"/>
      <c r="J33" s="39"/>
      <c r="K33" s="39"/>
      <c r="L33" s="39"/>
      <c r="M33" s="39"/>
      <c r="N33" s="39"/>
      <c r="O33" s="3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0"/>
      <c r="AS33" s="20"/>
      <c r="AT33" s="38"/>
      <c r="AU33" s="30"/>
      <c r="AV33" s="30"/>
      <c r="AW33" s="20"/>
      <c r="AX33" s="20"/>
      <c r="AY33" s="38"/>
      <c r="AZ33" s="38"/>
      <c r="BA33" s="38"/>
      <c r="BB33" s="20"/>
      <c r="BC33" s="20"/>
      <c r="BD33" s="20"/>
      <c r="BE33" s="20"/>
      <c r="BF33" s="19"/>
      <c r="BG33" s="19"/>
      <c r="BH33" s="19"/>
      <c r="BI33" s="19"/>
      <c r="BJ33" s="19"/>
      <c r="BK33" s="19"/>
      <c r="BL33" s="19"/>
    </row>
    <row r="34" spans="1:64">
      <c r="A34" s="342"/>
      <c r="B34" s="29"/>
      <c r="C34" s="29"/>
      <c r="D34" s="135"/>
      <c r="E34" s="135"/>
      <c r="F34" s="29"/>
      <c r="G34" s="39"/>
      <c r="H34" s="26"/>
      <c r="I34" s="26"/>
      <c r="J34" s="39"/>
      <c r="K34" s="39"/>
      <c r="L34" s="39"/>
      <c r="M34" s="39"/>
      <c r="N34" s="39"/>
      <c r="O34" s="3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0"/>
      <c r="AS34" s="20"/>
      <c r="AT34" s="38"/>
      <c r="AU34" s="30"/>
      <c r="AV34" s="30"/>
      <c r="AW34" s="20"/>
      <c r="AX34" s="20"/>
      <c r="AY34" s="38"/>
      <c r="AZ34" s="38"/>
      <c r="BA34" s="38"/>
      <c r="BB34" s="20"/>
      <c r="BC34" s="20"/>
      <c r="BD34" s="20"/>
      <c r="BE34" s="20"/>
      <c r="BF34" s="19"/>
      <c r="BG34" s="19"/>
      <c r="BH34" s="19"/>
      <c r="BI34" s="19"/>
      <c r="BJ34" s="19"/>
      <c r="BK34" s="19"/>
      <c r="BL34" s="19"/>
    </row>
    <row r="35" spans="1:64" ht="18.75">
      <c r="A35" s="9"/>
      <c r="B35" s="91"/>
      <c r="C35" s="91"/>
      <c r="D35" s="105" t="s">
        <v>214</v>
      </c>
      <c r="E35" s="105"/>
      <c r="F35" s="143"/>
      <c r="G35" s="143"/>
      <c r="H35" s="91"/>
      <c r="I35" s="91"/>
      <c r="J35" s="154"/>
      <c r="K35" s="90"/>
      <c r="L35" s="154"/>
      <c r="M35" s="155"/>
      <c r="N35" s="90"/>
      <c r="O35" s="90"/>
      <c r="P35" s="395"/>
      <c r="Q35" s="396"/>
      <c r="R35" s="395"/>
      <c r="S35" s="396"/>
      <c r="T35" s="397"/>
      <c r="U35" s="397"/>
      <c r="V35" s="395"/>
      <c r="W35" s="396"/>
      <c r="X35" s="398" t="s">
        <v>218</v>
      </c>
      <c r="Y35" s="397"/>
      <c r="Z35" s="395"/>
      <c r="AA35" s="396"/>
      <c r="AB35" s="397"/>
      <c r="AC35" s="397"/>
      <c r="AD35" s="395"/>
      <c r="AE35" s="396"/>
      <c r="AF35" s="397"/>
      <c r="AG35" s="397"/>
      <c r="AH35" s="395"/>
      <c r="AI35" s="396"/>
      <c r="AJ35" s="397"/>
      <c r="AK35" s="397"/>
      <c r="AL35" s="395"/>
      <c r="AM35" s="396"/>
      <c r="AN35" s="395"/>
      <c r="AO35" s="399"/>
      <c r="AP35" s="400"/>
      <c r="AQ35" s="401"/>
      <c r="AR35" s="256"/>
      <c r="AS35" s="247"/>
      <c r="AT35" s="247"/>
      <c r="AU35" s="247"/>
      <c r="AV35" s="298"/>
      <c r="AW35" s="299" t="s">
        <v>239</v>
      </c>
      <c r="AX35" s="247"/>
      <c r="AY35" s="247"/>
      <c r="AZ35" s="247"/>
      <c r="BA35" s="247"/>
      <c r="BB35" s="247"/>
      <c r="BC35" s="247"/>
      <c r="BD35" s="247"/>
      <c r="BE35" s="300"/>
      <c r="BF35" s="19"/>
      <c r="BG35" s="19"/>
      <c r="BH35" s="19"/>
      <c r="BI35" s="19"/>
      <c r="BJ35" s="19"/>
      <c r="BK35" s="19"/>
      <c r="BL35" s="19"/>
    </row>
    <row r="36" spans="1:64" ht="18.75">
      <c r="A36" s="9"/>
      <c r="B36" s="455" t="s">
        <v>240</v>
      </c>
      <c r="C36" s="455"/>
      <c r="D36" s="452" t="s">
        <v>1</v>
      </c>
      <c r="E36" s="453"/>
      <c r="F36" s="452" t="s">
        <v>236</v>
      </c>
      <c r="G36" s="453"/>
      <c r="H36" s="455" t="s">
        <v>235</v>
      </c>
      <c r="I36" s="455"/>
      <c r="J36" s="449" t="s">
        <v>221</v>
      </c>
      <c r="K36" s="449"/>
      <c r="L36" s="446" t="s">
        <v>222</v>
      </c>
      <c r="M36" s="451"/>
      <c r="N36" s="449" t="s">
        <v>237</v>
      </c>
      <c r="O36" s="450"/>
      <c r="P36" s="461" t="s">
        <v>223</v>
      </c>
      <c r="Q36" s="463"/>
      <c r="R36" s="461" t="s">
        <v>224</v>
      </c>
      <c r="S36" s="463"/>
      <c r="T36" s="465" t="s">
        <v>225</v>
      </c>
      <c r="U36" s="466"/>
      <c r="V36" s="461" t="s">
        <v>226</v>
      </c>
      <c r="W36" s="463"/>
      <c r="X36" s="465" t="s">
        <v>227</v>
      </c>
      <c r="Y36" s="466"/>
      <c r="Z36" s="461" t="s">
        <v>219</v>
      </c>
      <c r="AA36" s="463"/>
      <c r="AB36" s="465" t="s">
        <v>228</v>
      </c>
      <c r="AC36" s="466"/>
      <c r="AD36" s="461" t="s">
        <v>229</v>
      </c>
      <c r="AE36" s="464"/>
      <c r="AF36" s="465" t="s">
        <v>230</v>
      </c>
      <c r="AG36" s="465"/>
      <c r="AH36" s="461" t="s">
        <v>231</v>
      </c>
      <c r="AI36" s="464"/>
      <c r="AJ36" s="465" t="s">
        <v>232</v>
      </c>
      <c r="AK36" s="465"/>
      <c r="AL36" s="461" t="s">
        <v>233</v>
      </c>
      <c r="AM36" s="463"/>
      <c r="AN36" s="461" t="s">
        <v>234</v>
      </c>
      <c r="AO36" s="462"/>
      <c r="AP36" s="461" t="s">
        <v>220</v>
      </c>
      <c r="AQ36" s="463"/>
      <c r="AR36" s="219" t="s">
        <v>4</v>
      </c>
      <c r="AS36" s="121" t="s">
        <v>5</v>
      </c>
      <c r="AT36" s="121" t="s">
        <v>6</v>
      </c>
      <c r="AU36" s="122" t="s">
        <v>7</v>
      </c>
      <c r="AV36" s="121" t="s">
        <v>8</v>
      </c>
      <c r="AW36" s="121" t="s">
        <v>9</v>
      </c>
      <c r="AX36" s="121" t="s">
        <v>10</v>
      </c>
      <c r="AY36" s="121" t="s">
        <v>11</v>
      </c>
      <c r="AZ36" s="457" t="s">
        <v>238</v>
      </c>
      <c r="BA36" s="458"/>
      <c r="BB36" s="121" t="s">
        <v>13</v>
      </c>
      <c r="BC36" s="121" t="s">
        <v>14</v>
      </c>
      <c r="BD36" s="121" t="s">
        <v>15</v>
      </c>
      <c r="BE36" s="220" t="s">
        <v>16</v>
      </c>
      <c r="BF36" s="441"/>
      <c r="BG36" s="442"/>
      <c r="BH36" s="442"/>
      <c r="BI36" s="442"/>
      <c r="BJ36" s="442"/>
      <c r="BK36" s="442"/>
    </row>
    <row r="37" spans="1:64" ht="16.5" thickBot="1">
      <c r="A37" s="73" t="s">
        <v>253</v>
      </c>
      <c r="B37" s="149" t="s">
        <v>217</v>
      </c>
      <c r="C37" s="100" t="s">
        <v>215</v>
      </c>
      <c r="D37" s="149" t="s">
        <v>217</v>
      </c>
      <c r="E37" s="150" t="s">
        <v>215</v>
      </c>
      <c r="F37" s="149" t="s">
        <v>101</v>
      </c>
      <c r="G37" s="150" t="s">
        <v>215</v>
      </c>
      <c r="H37" s="100" t="s">
        <v>216</v>
      </c>
      <c r="I37" s="100" t="s">
        <v>215</v>
      </c>
      <c r="J37" s="146" t="s">
        <v>217</v>
      </c>
      <c r="K37" s="146" t="s">
        <v>215</v>
      </c>
      <c r="L37" s="151" t="s">
        <v>217</v>
      </c>
      <c r="M37" s="152" t="s">
        <v>215</v>
      </c>
      <c r="N37" s="146" t="s">
        <v>217</v>
      </c>
      <c r="O37" s="146" t="s">
        <v>215</v>
      </c>
      <c r="P37" s="402" t="s">
        <v>217</v>
      </c>
      <c r="Q37" s="403" t="s">
        <v>215</v>
      </c>
      <c r="R37" s="402" t="s">
        <v>217</v>
      </c>
      <c r="S37" s="403" t="s">
        <v>215</v>
      </c>
      <c r="T37" s="404" t="s">
        <v>217</v>
      </c>
      <c r="U37" s="404" t="s">
        <v>215</v>
      </c>
      <c r="V37" s="402" t="s">
        <v>217</v>
      </c>
      <c r="W37" s="403" t="s">
        <v>215</v>
      </c>
      <c r="X37" s="404" t="s">
        <v>217</v>
      </c>
      <c r="Y37" s="404" t="s">
        <v>215</v>
      </c>
      <c r="Z37" s="402" t="s">
        <v>217</v>
      </c>
      <c r="AA37" s="403" t="s">
        <v>215</v>
      </c>
      <c r="AB37" s="404" t="s">
        <v>217</v>
      </c>
      <c r="AC37" s="404" t="s">
        <v>215</v>
      </c>
      <c r="AD37" s="402" t="s">
        <v>217</v>
      </c>
      <c r="AE37" s="403" t="s">
        <v>215</v>
      </c>
      <c r="AF37" s="402" t="s">
        <v>217</v>
      </c>
      <c r="AG37" s="404" t="s">
        <v>215</v>
      </c>
      <c r="AH37" s="402" t="s">
        <v>217</v>
      </c>
      <c r="AI37" s="403" t="s">
        <v>215</v>
      </c>
      <c r="AJ37" s="404" t="s">
        <v>217</v>
      </c>
      <c r="AK37" s="404" t="s">
        <v>215</v>
      </c>
      <c r="AL37" s="402" t="s">
        <v>217</v>
      </c>
      <c r="AM37" s="403" t="s">
        <v>215</v>
      </c>
      <c r="AN37" s="402" t="s">
        <v>217</v>
      </c>
      <c r="AO37" s="404" t="s">
        <v>215</v>
      </c>
      <c r="AP37" s="402" t="s">
        <v>217</v>
      </c>
      <c r="AQ37" s="403" t="s">
        <v>215</v>
      </c>
      <c r="AR37" s="257" t="s">
        <v>93</v>
      </c>
      <c r="AS37" s="96" t="s">
        <v>91</v>
      </c>
      <c r="AT37" s="118" t="s">
        <v>91</v>
      </c>
      <c r="AU37" s="97" t="s">
        <v>91</v>
      </c>
      <c r="AV37" s="118" t="s">
        <v>93</v>
      </c>
      <c r="AW37" s="118" t="s">
        <v>91</v>
      </c>
      <c r="AX37" s="118" t="s">
        <v>91</v>
      </c>
      <c r="AY37" s="160" t="s">
        <v>91</v>
      </c>
      <c r="AZ37" s="161" t="s">
        <v>217</v>
      </c>
      <c r="BA37" s="162" t="s">
        <v>215</v>
      </c>
      <c r="BB37" s="159" t="s">
        <v>93</v>
      </c>
      <c r="BC37" s="118" t="s">
        <v>93</v>
      </c>
      <c r="BD37" s="118" t="s">
        <v>93</v>
      </c>
      <c r="BE37" s="301" t="s">
        <v>91</v>
      </c>
      <c r="BF37" s="443"/>
      <c r="BG37" s="444"/>
      <c r="BH37" s="445"/>
      <c r="BI37" s="444"/>
      <c r="BJ37" s="445"/>
      <c r="BK37" s="444"/>
    </row>
    <row r="38" spans="1:64">
      <c r="A38" s="280" t="s">
        <v>42</v>
      </c>
      <c r="B38" s="38">
        <f>'Nutrient Composition'!B17</f>
        <v>91.045000000000002</v>
      </c>
      <c r="C38" s="129">
        <f>(B38*'ADC''s, HSB'!C36)/100</f>
        <v>77.277602037972827</v>
      </c>
      <c r="D38" s="196" t="s">
        <v>208</v>
      </c>
      <c r="E38" s="193" t="s">
        <v>212</v>
      </c>
      <c r="F38" s="204">
        <f>'Nutrient Composition'!D17</f>
        <v>70.192761821077482</v>
      </c>
      <c r="G38" s="129">
        <f>(F38*'ADC''s, HSB'!E36)/100</f>
        <v>55.597957231145458</v>
      </c>
      <c r="H38" s="392">
        <f>'Nutrient Composition'!E17</f>
        <v>5935.1309791861177</v>
      </c>
      <c r="I38" s="128">
        <f>(H38*'ADC''s, HSB'!F36)/100</f>
        <v>5047.8502226825112</v>
      </c>
      <c r="J38" s="204">
        <f>'Nutrient Composition'!F17</f>
        <v>5.843264319841837</v>
      </c>
      <c r="K38" s="129">
        <f>(J38*'ADC''s, HSB'!G36)/100</f>
        <v>5.5265489477481564</v>
      </c>
      <c r="L38" s="204">
        <f>'Nutrient Composition'!G17</f>
        <v>2.7349113075951457</v>
      </c>
      <c r="M38" s="129">
        <f>(L38*'ADC''s, HSB'!H36)/100</f>
        <v>2.6735961707744758</v>
      </c>
      <c r="N38" s="204">
        <f>'Nutrient Composition'!H17</f>
        <v>4.1627766489098796</v>
      </c>
      <c r="O38" s="129">
        <f>(N38*'ADC''s, HSB'!I36)/100</f>
        <v>4.1627766489098796</v>
      </c>
      <c r="P38" s="248">
        <f>'Nutrient Composition'!I17</f>
        <v>14.388489208633093</v>
      </c>
      <c r="Q38" s="13">
        <f>(P38*'ADC''s, HSB'!J36)/100</f>
        <v>13.785263303860063</v>
      </c>
      <c r="R38" s="248">
        <f>'Nutrient Composition'!J17</f>
        <v>1.9221264210006042</v>
      </c>
      <c r="S38" s="13">
        <f>(R38*'ADC''s, HSB'!K36)/100</f>
        <v>1.9221264210006042</v>
      </c>
      <c r="T38" s="248">
        <f>'Nutrient Composition'!K17</f>
        <v>1.3399967049261354</v>
      </c>
      <c r="U38" s="13">
        <f>(T38*'ADC''s, HSB'!L36)/100</f>
        <v>1.3399967049261354</v>
      </c>
      <c r="V38" s="248">
        <f>'Nutrient Composition'!L17</f>
        <v>2.9106485803723432</v>
      </c>
      <c r="W38" s="13">
        <f>(V38*'ADC''s, HSB'!M36)/100</f>
        <v>2.493393220697389</v>
      </c>
      <c r="X38" s="248">
        <f>'Nutrient Composition'!M17</f>
        <v>11.324070514580702</v>
      </c>
      <c r="Y38" s="13">
        <f>(X38*'ADC''s, HSB'!N36)/100</f>
        <v>10.556767786007518</v>
      </c>
      <c r="Z38" s="248">
        <f>'Nutrient Composition'!N17</f>
        <v>1.2521280685375362</v>
      </c>
      <c r="AA38" s="13">
        <f>(Z38*'ADC''s, HSB'!O36)/100</f>
        <v>1.2345059816985333</v>
      </c>
      <c r="AB38" s="248">
        <f>'Nutrient Composition'!O17</f>
        <v>1.5157339777033334</v>
      </c>
      <c r="AC38" s="13">
        <f>(AB38*'ADC''s, HSB'!P36)/100</f>
        <v>1.1696101759432866</v>
      </c>
      <c r="AD38" s="248">
        <f>'Nutrient Composition'!P17</f>
        <v>4.5911362513042997</v>
      </c>
      <c r="AE38" s="13">
        <f>(AD38*'ADC''s, HSB'!Q36)/100</f>
        <v>4.2232387227203878</v>
      </c>
      <c r="AF38" s="248">
        <f>'Nutrient Composition'!Q17</f>
        <v>6.3704761381734309</v>
      </c>
      <c r="AG38" s="405" t="s">
        <v>208</v>
      </c>
      <c r="AH38" s="248">
        <f>'Nutrient Composition'!R17</f>
        <v>3.7893349442583339</v>
      </c>
      <c r="AI38" s="13">
        <f>(AH38*'ADC''s, HSB'!R36)/100</f>
        <v>3.7246735629430354</v>
      </c>
      <c r="AJ38" s="248">
        <f>'Nutrient Composition'!S17</f>
        <v>2.5152397166236478</v>
      </c>
      <c r="AK38" s="13">
        <f>(AJ38*'ADC''s, HSB'!S36)/100</f>
        <v>2.4665696825250705</v>
      </c>
      <c r="AL38" s="248">
        <f>'Nutrient Composition'!T17</f>
        <v>3.9101543192926576</v>
      </c>
      <c r="AM38" s="13">
        <f>(AL38*'ADC''s, HSB'!T36)/100</f>
        <v>3.6162163696674265</v>
      </c>
      <c r="AN38" s="248">
        <f>'Nutrient Composition'!U17</f>
        <v>3.2401559668295898</v>
      </c>
      <c r="AO38" s="13">
        <f>(AN38*'ADC''s, HSB'!U36)/100</f>
        <v>2.999185805612528</v>
      </c>
      <c r="AP38" s="248">
        <f>'Nutrient Composition'!V17</f>
        <v>71.81064308858258</v>
      </c>
      <c r="AQ38" s="13">
        <f>(AP38*'ADC''s, HSB'!V36)/100</f>
        <v>67.797981561700539</v>
      </c>
      <c r="AR38" s="406" t="s">
        <v>212</v>
      </c>
      <c r="AS38" s="407" t="s">
        <v>212</v>
      </c>
      <c r="AT38" s="408" t="s">
        <v>212</v>
      </c>
      <c r="AU38" s="409" t="s">
        <v>212</v>
      </c>
      <c r="AV38" s="408" t="s">
        <v>212</v>
      </c>
      <c r="AW38" s="408" t="s">
        <v>212</v>
      </c>
      <c r="AX38" s="408" t="s">
        <v>212</v>
      </c>
      <c r="AY38" s="408" t="s">
        <v>212</v>
      </c>
      <c r="AZ38" s="410" t="s">
        <v>212</v>
      </c>
      <c r="BA38" s="411" t="s">
        <v>212</v>
      </c>
      <c r="BB38" s="408" t="s">
        <v>212</v>
      </c>
      <c r="BC38" s="408" t="s">
        <v>212</v>
      </c>
      <c r="BD38" s="408" t="s">
        <v>212</v>
      </c>
      <c r="BE38" s="412" t="s">
        <v>212</v>
      </c>
      <c r="BF38" s="78"/>
      <c r="BG38" s="353"/>
      <c r="BH38" s="354"/>
      <c r="BI38" s="353"/>
      <c r="BJ38" s="354"/>
      <c r="BK38" s="353"/>
    </row>
    <row r="39" spans="1:64">
      <c r="A39" s="280" t="s">
        <v>49</v>
      </c>
      <c r="B39" s="38">
        <f>'Nutrient Composition'!B21</f>
        <v>91.76</v>
      </c>
      <c r="C39" s="129">
        <f>(B39*'ADC''s, HSB'!C37)/100</f>
        <v>67.874951994727041</v>
      </c>
      <c r="D39" s="197" t="s">
        <v>212</v>
      </c>
      <c r="E39" s="195" t="s">
        <v>212</v>
      </c>
      <c r="F39" s="156">
        <f>'Nutrient Composition'!D21</f>
        <v>53.894943330427196</v>
      </c>
      <c r="G39" s="129">
        <f>(F39*'ADC''s, HSB'!E37)/100</f>
        <v>46.430553123889347</v>
      </c>
      <c r="H39" s="393">
        <f>'Nutrient Composition'!E21</f>
        <v>4981.0156931124666</v>
      </c>
      <c r="I39" s="128">
        <f>(H39*'ADC''s, HSB'!F37)/100</f>
        <v>4095.164580119776</v>
      </c>
      <c r="J39" s="156">
        <f>'Nutrient Composition'!F21</f>
        <v>2.092414995640802</v>
      </c>
      <c r="K39" s="129">
        <f>(J39*'ADC''s, HSB'!G37)/100</f>
        <v>2.092414995640802</v>
      </c>
      <c r="L39" s="156">
        <f>'Nutrient Composition'!G21</f>
        <v>4.8931996512641671</v>
      </c>
      <c r="M39" s="129">
        <f>(L39*'ADC''s, HSB'!H37)/100</f>
        <v>4.8076139231433226</v>
      </c>
      <c r="N39" s="156">
        <f>'Nutrient Composition'!H21</f>
        <v>5.6124673060156933</v>
      </c>
      <c r="O39" s="129">
        <f>(N39*'ADC''s, HSB'!I37)/100</f>
        <v>5.6124673060156933</v>
      </c>
      <c r="P39" s="163">
        <f>'Nutrient Composition'!I21</f>
        <v>8.0863121185701825</v>
      </c>
      <c r="Q39" s="13">
        <f>(P39*'ADC''s, HSB'!J37)/100</f>
        <v>7.839807671060611</v>
      </c>
      <c r="R39" s="163">
        <f>'Nutrient Composition'!J21</f>
        <v>2.0706190061028766</v>
      </c>
      <c r="S39" s="13">
        <f>(R39*'ADC''s, HSB'!K37)/100</f>
        <v>2.0706190061028766</v>
      </c>
      <c r="T39" s="163">
        <f>'Nutrient Composition'!K21</f>
        <v>1.3077593722755012</v>
      </c>
      <c r="U39" s="13">
        <f>(T39*'ADC''s, HSB'!L37)/100</f>
        <v>1.3077593722755012</v>
      </c>
      <c r="V39" s="163">
        <f>'Nutrient Composition'!L21</f>
        <v>2.4411508282476024</v>
      </c>
      <c r="W39" s="13">
        <f>(V39*'ADC''s, HSB'!M37)/100</f>
        <v>2.3788722241100695</v>
      </c>
      <c r="X39" s="163">
        <f>'Nutrient Composition'!M21</f>
        <v>3.9886660854402787</v>
      </c>
      <c r="Y39" s="13">
        <f>(X39*'ADC''s, HSB'!N37)/100</f>
        <v>3.9886660854402787</v>
      </c>
      <c r="Z39" s="163">
        <f>'Nutrient Composition'!N21</f>
        <v>2.99694856146469</v>
      </c>
      <c r="AA39" s="13">
        <f>(Z39*'ADC''s, HSB'!O37)/100</f>
        <v>2.9162429105503738</v>
      </c>
      <c r="AB39" s="163">
        <f>'Nutrient Composition'!O21</f>
        <v>0.6538796861377506</v>
      </c>
      <c r="AC39" s="13">
        <f>(AB39*'ADC''s, HSB'!P37)/100</f>
        <v>0.55218199944095891</v>
      </c>
      <c r="AD39" s="163">
        <f>'Nutrient Composition'!P21</f>
        <v>2.7462946817785525</v>
      </c>
      <c r="AE39" s="13">
        <f>(AD39*'ADC''s, HSB'!Q37)/100</f>
        <v>2.659809420371841</v>
      </c>
      <c r="AF39" s="163">
        <f>'Nutrient Composition'!Q21</f>
        <v>2.4520488230165647</v>
      </c>
      <c r="AG39" s="135" t="s">
        <v>212</v>
      </c>
      <c r="AH39" s="163">
        <f>'Nutrient Composition'!R21</f>
        <v>2.4193548387096775</v>
      </c>
      <c r="AI39" s="13">
        <f>(AH39*'ADC''s, HSB'!R37)/100</f>
        <v>2.3524948588899979</v>
      </c>
      <c r="AJ39" s="163">
        <f>'Nutrient Composition'!S21</f>
        <v>2.114210985178727</v>
      </c>
      <c r="AK39" s="13">
        <f>(AJ39*'ADC''s, HSB'!S37)/100</f>
        <v>2.0920523787231691</v>
      </c>
      <c r="AL39" s="163">
        <f>'Nutrient Composition'!T21</f>
        <v>2.114210985178727</v>
      </c>
      <c r="AM39" s="13">
        <f>(AL39*'ADC''s, HSB'!T37)/100</f>
        <v>2.1148665847545187</v>
      </c>
      <c r="AN39" s="163">
        <f>'Nutrient Composition'!U21</f>
        <v>2.5283347863993022</v>
      </c>
      <c r="AO39" s="13">
        <f>(AN39*'ADC''s, HSB'!U37)/100</f>
        <v>2.5283347863993022</v>
      </c>
      <c r="AP39" s="163">
        <f>'Nutrient Composition'!V21</f>
        <v>48.517872711421091</v>
      </c>
      <c r="AQ39" s="13">
        <f>(AP39*'ADC''s, HSB'!V37)/100</f>
        <v>47.46586417472826</v>
      </c>
      <c r="AR39" s="406" t="s">
        <v>212</v>
      </c>
      <c r="AS39" s="407" t="s">
        <v>212</v>
      </c>
      <c r="AT39" s="408" t="s">
        <v>212</v>
      </c>
      <c r="AU39" s="409" t="s">
        <v>212</v>
      </c>
      <c r="AV39" s="408" t="s">
        <v>212</v>
      </c>
      <c r="AW39" s="408" t="s">
        <v>212</v>
      </c>
      <c r="AX39" s="408" t="s">
        <v>212</v>
      </c>
      <c r="AY39" s="408" t="s">
        <v>212</v>
      </c>
      <c r="AZ39" s="163" t="s">
        <v>212</v>
      </c>
      <c r="BA39" s="349" t="s">
        <v>212</v>
      </c>
      <c r="BB39" s="20" t="s">
        <v>212</v>
      </c>
      <c r="BC39" s="20" t="s">
        <v>212</v>
      </c>
      <c r="BD39" s="20" t="s">
        <v>212</v>
      </c>
      <c r="BE39" s="304" t="s">
        <v>212</v>
      </c>
      <c r="BF39" s="355"/>
      <c r="BG39" s="353"/>
      <c r="BH39" s="354"/>
      <c r="BI39" s="353"/>
      <c r="BJ39" s="354"/>
      <c r="BK39" s="353"/>
    </row>
    <row r="40" spans="1:64">
      <c r="A40" s="280" t="s">
        <v>44</v>
      </c>
      <c r="B40" s="38">
        <f>'Nutrient Composition'!B25</f>
        <v>92.435000000000002</v>
      </c>
      <c r="C40" s="129">
        <f>(B40*'ADC''s, HSB'!C38)/100</f>
        <v>43.597078631054963</v>
      </c>
      <c r="D40" s="197" t="s">
        <v>212</v>
      </c>
      <c r="E40" s="195" t="s">
        <v>212</v>
      </c>
      <c r="F40" s="156">
        <f>'Nutrient Composition'!D25</f>
        <v>17.387353275274517</v>
      </c>
      <c r="G40" s="129">
        <f>(F40*'ADC''s, HSB'!E38)/100</f>
        <v>14.772884609428065</v>
      </c>
      <c r="H40" s="393">
        <f>'Nutrient Composition'!E25</f>
        <v>5409.3254719532642</v>
      </c>
      <c r="I40" s="128">
        <f>(H40*'ADC''s, HSB'!F38)/100</f>
        <v>3881.7668821502425</v>
      </c>
      <c r="J40" s="156">
        <f>'Nutrient Composition'!F25</f>
        <v>0.90009195650997997</v>
      </c>
      <c r="K40" s="129">
        <f>(J40*'ADC''s, HSB'!G38)/100</f>
        <v>0.84627069308408465</v>
      </c>
      <c r="L40" s="156">
        <f>'Nutrient Composition'!G25</f>
        <v>1.6433169254070428</v>
      </c>
      <c r="M40" s="129">
        <f>(L40*'ADC''s, HSB'!H38)/100</f>
        <v>1.4633978112186159</v>
      </c>
      <c r="N40" s="156">
        <f>'Nutrient Composition'!H25</f>
        <v>1.2441174879645156</v>
      </c>
      <c r="O40" s="129">
        <f>(N40*'ADC''s, HSB'!I38)/100</f>
        <v>1.2441174879645156</v>
      </c>
      <c r="P40" s="163">
        <f>'Nutrient Composition'!I25</f>
        <v>1.8001839130199599</v>
      </c>
      <c r="Q40" s="13">
        <f>(P40*'ADC''s, HSB'!J38)/100</f>
        <v>1.8001839130199599</v>
      </c>
      <c r="R40" s="163">
        <f>'Nutrient Composition'!J25</f>
        <v>0.79731703359117212</v>
      </c>
      <c r="S40" s="13">
        <f>(R40*'ADC''s, HSB'!K38)/100</f>
        <v>0.73329761354260048</v>
      </c>
      <c r="T40" s="163">
        <f>'Nutrient Composition'!K25</f>
        <v>0.41326337426299564</v>
      </c>
      <c r="U40" s="13">
        <f>(T40*'ADC''s, HSB'!L38)/100</f>
        <v>0.25118045666479338</v>
      </c>
      <c r="V40" s="163">
        <f>'Nutrient Composition'!L25</f>
        <v>0.59176718775355663</v>
      </c>
      <c r="W40" s="13">
        <f>(V40*'ADC''s, HSB'!M38)/100</f>
        <v>0.5018483045123453</v>
      </c>
      <c r="X40" s="163">
        <f>'Nutrient Composition'!M25</f>
        <v>1.1435062476334721</v>
      </c>
      <c r="Y40" s="13">
        <f>(X40*'ADC''s, HSB'!N38)/100</f>
        <v>1.0515584109097709</v>
      </c>
      <c r="Z40" s="163">
        <f>'Nutrient Composition'!N25</f>
        <v>0.68264185643966035</v>
      </c>
      <c r="AA40" s="13">
        <f>(Z40*'ADC''s, HSB'!O38)/100</f>
        <v>0.68264185643966035</v>
      </c>
      <c r="AB40" s="163">
        <f>'Nutrient Composition'!O25</f>
        <v>0.2412506085357278</v>
      </c>
      <c r="AC40" s="13">
        <f>(AB40*'ADC''s, HSB'!P38)/100</f>
        <v>0.11884350677395208</v>
      </c>
      <c r="AD40" s="163">
        <f>'Nutrient Composition'!P25</f>
        <v>0.73997944501541624</v>
      </c>
      <c r="AE40" s="13">
        <f>(AD40*'ADC''s, HSB'!Q38)/100</f>
        <v>0.65092343175787082</v>
      </c>
      <c r="AF40" s="163">
        <f>'Nutrient Composition'!Q25</f>
        <v>0.63179531562719748</v>
      </c>
      <c r="AG40" s="135" t="s">
        <v>212</v>
      </c>
      <c r="AH40" s="163">
        <f>'Nutrient Composition'!R25</f>
        <v>0.72699734948882999</v>
      </c>
      <c r="AI40" s="13">
        <f>(AH40*'ADC''s, HSB'!R38)/100</f>
        <v>0.7269973494888301</v>
      </c>
      <c r="AJ40" s="163">
        <f>'Nutrient Composition'!S25</f>
        <v>0.6220587439822578</v>
      </c>
      <c r="AK40" s="13">
        <f>(AJ40*'ADC''s, HSB'!S38)/100</f>
        <v>0.6220587439822578</v>
      </c>
      <c r="AL40" s="163">
        <f>'Nutrient Composition'!T25</f>
        <v>0.63395899821496182</v>
      </c>
      <c r="AM40" s="13">
        <f>(AL40*'ADC''s, HSB'!T38)/100</f>
        <v>0.56439436709390334</v>
      </c>
      <c r="AN40" s="163">
        <f>'Nutrient Composition'!U25</f>
        <v>0.90982852815491966</v>
      </c>
      <c r="AO40" s="13">
        <f>(AN40*'ADC''s, HSB'!U38)/100</f>
        <v>0.8339845794862808</v>
      </c>
      <c r="AP40" s="163">
        <f>'Nutrient Composition'!V25</f>
        <v>13.722074971601666</v>
      </c>
      <c r="AQ40" s="13">
        <f>(AP40*'ADC''s, HSB'!V38)/100</f>
        <v>12.171515914146765</v>
      </c>
      <c r="AR40" s="406" t="s">
        <v>212</v>
      </c>
      <c r="AS40" s="407" t="s">
        <v>212</v>
      </c>
      <c r="AT40" s="408" t="s">
        <v>212</v>
      </c>
      <c r="AU40" s="409" t="s">
        <v>212</v>
      </c>
      <c r="AV40" s="408" t="s">
        <v>212</v>
      </c>
      <c r="AW40" s="408" t="s">
        <v>212</v>
      </c>
      <c r="AX40" s="408" t="s">
        <v>212</v>
      </c>
      <c r="AY40" s="408" t="s">
        <v>212</v>
      </c>
      <c r="AZ40" s="410" t="s">
        <v>212</v>
      </c>
      <c r="BA40" s="411" t="s">
        <v>212</v>
      </c>
      <c r="BB40" s="408" t="s">
        <v>212</v>
      </c>
      <c r="BC40" s="408" t="s">
        <v>212</v>
      </c>
      <c r="BD40" s="408" t="s">
        <v>212</v>
      </c>
      <c r="BE40" s="412" t="s">
        <v>212</v>
      </c>
      <c r="BF40" s="78"/>
      <c r="BG40" s="353"/>
      <c r="BH40" s="354"/>
      <c r="BI40" s="353"/>
      <c r="BJ40" s="354"/>
      <c r="BK40" s="353"/>
    </row>
    <row r="41" spans="1:64">
      <c r="A41" s="280" t="s">
        <v>53</v>
      </c>
      <c r="B41" s="38">
        <f>'Nutrient Composition'!B27</f>
        <v>88.754999999999995</v>
      </c>
      <c r="C41" s="129">
        <f>(B41*'ADC''s, HSB'!C39)/100</f>
        <v>20.287688846197906</v>
      </c>
      <c r="D41" s="197" t="s">
        <v>212</v>
      </c>
      <c r="E41" s="195" t="s">
        <v>212</v>
      </c>
      <c r="F41" s="156">
        <f>'Nutrient Composition'!D27</f>
        <v>21.18979212438736</v>
      </c>
      <c r="G41" s="129">
        <f>(F41*'ADC''s, HSB'!E39)/100</f>
        <v>14.103864161587083</v>
      </c>
      <c r="H41" s="393">
        <f>'Nutrient Composition'!E27</f>
        <v>4838.2739000619686</v>
      </c>
      <c r="I41" s="128">
        <f>(H41*'ADC''s, HSB'!F39)/100</f>
        <v>1396.5681910633766</v>
      </c>
      <c r="J41" s="156">
        <f>'Nutrient Composition'!F27</f>
        <v>0.81009520590389272</v>
      </c>
      <c r="K41" s="129">
        <f>(J41*'ADC''s, HSB'!G39)/100</f>
        <v>0.69858392637601985</v>
      </c>
      <c r="L41" s="156">
        <f>'Nutrient Composition'!G27</f>
        <v>1.4489324545096052</v>
      </c>
      <c r="M41" s="129">
        <f>(L41*'ADC''s, HSB'!H39)/100</f>
        <v>1.1081914363614913</v>
      </c>
      <c r="N41" s="156">
        <f>'Nutrient Composition'!H27</f>
        <v>1.2675342234240325</v>
      </c>
      <c r="O41" s="129">
        <f>(N41*'ADC''s, HSB'!I39)/100</f>
        <v>1.2675342234240325</v>
      </c>
      <c r="P41" s="163">
        <f>'Nutrient Composition'!I27</f>
        <v>3.0454622274801419</v>
      </c>
      <c r="Q41" s="13">
        <f>(P41*'ADC''s, HSB'!J39)/100</f>
        <v>3.0454622274801419</v>
      </c>
      <c r="R41" s="163">
        <f>'Nutrient Composition'!J27</f>
        <v>0.88333051659061468</v>
      </c>
      <c r="S41" s="13">
        <f>(R41*'ADC''s, HSB'!K39)/100</f>
        <v>0.76291409978920599</v>
      </c>
      <c r="T41" s="163">
        <f>'Nutrient Composition'!K27</f>
        <v>0.46081910878260379</v>
      </c>
      <c r="U41" s="13">
        <f>(T41*'ADC''s, HSB'!L39)/100</f>
        <v>0.39711138024239878</v>
      </c>
      <c r="V41" s="163">
        <f>'Nutrient Composition'!L27</f>
        <v>0.58926257675623916</v>
      </c>
      <c r="W41" s="13">
        <f>(V41*'ADC''s, HSB'!M39)/100</f>
        <v>0.54065214190781841</v>
      </c>
      <c r="X41" s="163">
        <f>'Nutrient Composition'!M27</f>
        <v>1.1052898428257563</v>
      </c>
      <c r="Y41" s="13">
        <f>(X41*'ADC''s, HSB'!N39)/100</f>
        <v>1.0802540556432074</v>
      </c>
      <c r="Z41" s="163">
        <f>'Nutrient Composition'!N27</f>
        <v>0.68052504084276944</v>
      </c>
      <c r="AA41" s="13">
        <f>(Z41*'ADC''s, HSB'!O39)/100</f>
        <v>0.37971218915286942</v>
      </c>
      <c r="AB41" s="163">
        <f>'Nutrient Composition'!O27</f>
        <v>0.1644977747732522</v>
      </c>
      <c r="AC41" s="13">
        <f>(AB41*'ADC''s, HSB'!P39)/100</f>
        <v>0</v>
      </c>
      <c r="AD41" s="163">
        <f>'Nutrient Composition'!P27</f>
        <v>0.71770604472987443</v>
      </c>
      <c r="AE41" s="13">
        <f>(AD41*'ADC''s, HSB'!Q39)/100</f>
        <v>0.58147196998977291</v>
      </c>
      <c r="AF41" s="163">
        <f>'Nutrient Composition'!Q27</f>
        <v>1.0726156272886034</v>
      </c>
      <c r="AG41" s="135" t="s">
        <v>212</v>
      </c>
      <c r="AH41" s="163">
        <f>'Nutrient Composition'!R27</f>
        <v>0.66249788744296101</v>
      </c>
      <c r="AI41" s="13">
        <f>(AH41*'ADC''s, HSB'!R39)/100</f>
        <v>0.66249788744296101</v>
      </c>
      <c r="AJ41" s="163">
        <f>'Nutrient Composition'!S27</f>
        <v>0.58475578840628706</v>
      </c>
      <c r="AK41" s="13">
        <f>(AJ41*'ADC''s, HSB'!S39)/100</f>
        <v>0.58475578840628706</v>
      </c>
      <c r="AL41" s="163">
        <f>'Nutrient Composition'!T27</f>
        <v>0.53518111655681366</v>
      </c>
      <c r="AM41" s="13">
        <f>(AL41*'ADC''s, HSB'!T39)/100</f>
        <v>0.53518111655681366</v>
      </c>
      <c r="AN41" s="163">
        <f>'Nutrient Composition'!U27</f>
        <v>0.85741648357838995</v>
      </c>
      <c r="AO41" s="13">
        <f>(AN41*'ADC''s, HSB'!U39)/100</f>
        <v>0.83899129370063774</v>
      </c>
      <c r="AP41" s="163">
        <f>'Nutrient Composition'!V27</f>
        <v>14.885921919891839</v>
      </c>
      <c r="AQ41" s="13">
        <f>(AP41*'ADC''s, HSB'!V39)/100</f>
        <v>12.498347211599009</v>
      </c>
      <c r="AR41" s="406" t="s">
        <v>212</v>
      </c>
      <c r="AS41" s="407" t="s">
        <v>212</v>
      </c>
      <c r="AT41" s="408" t="s">
        <v>212</v>
      </c>
      <c r="AU41" s="409" t="s">
        <v>212</v>
      </c>
      <c r="AV41" s="408" t="s">
        <v>212</v>
      </c>
      <c r="AW41" s="408" t="s">
        <v>212</v>
      </c>
      <c r="AX41" s="408" t="s">
        <v>212</v>
      </c>
      <c r="AY41" s="408" t="s">
        <v>212</v>
      </c>
      <c r="AZ41" s="163" t="s">
        <v>212</v>
      </c>
      <c r="BA41" s="349" t="s">
        <v>212</v>
      </c>
      <c r="BB41" s="20" t="s">
        <v>212</v>
      </c>
      <c r="BC41" s="20" t="s">
        <v>212</v>
      </c>
      <c r="BD41" s="20" t="s">
        <v>212</v>
      </c>
      <c r="BE41" s="304" t="s">
        <v>212</v>
      </c>
      <c r="BF41" s="78"/>
      <c r="BG41" s="353"/>
      <c r="BH41" s="77"/>
      <c r="BI41" s="353"/>
      <c r="BJ41" s="77"/>
      <c r="BK41" s="353"/>
    </row>
    <row r="42" spans="1:64">
      <c r="A42" s="280" t="s">
        <v>55</v>
      </c>
      <c r="B42" s="38">
        <f>'Nutrient Composition'!B31</f>
        <v>88.64</v>
      </c>
      <c r="C42" s="129">
        <f>(B42*'ADC''s, HSB'!C40)/100</f>
        <v>31.905857828775655</v>
      </c>
      <c r="D42" s="197" t="s">
        <v>212</v>
      </c>
      <c r="E42" s="195" t="s">
        <v>212</v>
      </c>
      <c r="F42" s="156">
        <f>'Nutrient Composition'!D31</f>
        <v>10.685920577617328</v>
      </c>
      <c r="G42" s="129">
        <f>(F42*'ADC''s, HSB'!E40)/100</f>
        <v>10.685920577617328</v>
      </c>
      <c r="H42" s="393">
        <f>'Nutrient Composition'!E31</f>
        <v>4811.4395306859205</v>
      </c>
      <c r="I42" s="128">
        <f>(H42*'ADC''s, HSB'!F40)/100</f>
        <v>1831.0586465452641</v>
      </c>
      <c r="J42" s="156">
        <f>'Nutrient Composition'!F31</f>
        <v>0.63064079422382679</v>
      </c>
      <c r="K42" s="129">
        <f>(J42*'ADC''s, HSB'!G40)/100</f>
        <v>0.63064079422382679</v>
      </c>
      <c r="L42" s="156">
        <f>'Nutrient Composition'!G31</f>
        <v>0.50203068592057765</v>
      </c>
      <c r="M42" s="129">
        <f>(L42*'ADC''s, HSB'!H40)/100</f>
        <v>0.50398892621963276</v>
      </c>
      <c r="N42" s="156">
        <f>'Nutrient Composition'!H31</f>
        <v>0.64417870036101077</v>
      </c>
      <c r="O42" s="129">
        <f>(N42*'ADC''s, HSB'!I40)/100</f>
        <v>0.64417870036101077</v>
      </c>
      <c r="P42" s="163">
        <f>'Nutrient Composition'!I31</f>
        <v>1.4587093862815885</v>
      </c>
      <c r="Q42" s="13">
        <f>(P42*'ADC''s, HSB'!J40)/100</f>
        <v>1.4587093862815885</v>
      </c>
      <c r="R42" s="163">
        <f>'Nutrient Composition'!J31</f>
        <v>0.35198555956678701</v>
      </c>
      <c r="S42" s="13">
        <f>(R42*'ADC''s, HSB'!K40)/100</f>
        <v>0.35198555956678701</v>
      </c>
      <c r="T42" s="163">
        <f>'Nutrient Composition'!K31</f>
        <v>0.25496389891696752</v>
      </c>
      <c r="U42" s="13">
        <f>(T42*'ADC''s, HSB'!L40)/100</f>
        <v>0.25496389891696752</v>
      </c>
      <c r="V42" s="163">
        <f>'Nutrient Composition'!L31</f>
        <v>0.32265342960288806</v>
      </c>
      <c r="W42" s="13">
        <f>(V42*'ADC''s, HSB'!M40)/100</f>
        <v>0.32265342960288806</v>
      </c>
      <c r="X42" s="163">
        <f>'Nutrient Composition'!M31</f>
        <v>1.0356498194945849</v>
      </c>
      <c r="Y42" s="13">
        <f>(X42*'ADC''s, HSB'!N40)/100</f>
        <v>1.0356498194945849</v>
      </c>
      <c r="Z42" s="163">
        <f>'Nutrient Composition'!N31</f>
        <v>0.28542418772563177</v>
      </c>
      <c r="AA42" s="13">
        <f>(Z42*'ADC''s, HSB'!O40)/100</f>
        <v>0.28542418772563177</v>
      </c>
      <c r="AB42" s="163">
        <f>'Nutrient Composition'!O31</f>
        <v>0.15004512635379064</v>
      </c>
      <c r="AC42" s="13">
        <f>(AB42*'ADC''s, HSB'!P40)/100</f>
        <v>6.2827864637557476E-2</v>
      </c>
      <c r="AD42" s="163">
        <f>'Nutrient Composition'!P31</f>
        <v>0.42982851985559567</v>
      </c>
      <c r="AE42" s="13">
        <f>(AD42*'ADC''s, HSB'!Q40)/100</f>
        <v>0.42982851985559573</v>
      </c>
      <c r="AF42" s="163">
        <f>'Nutrient Composition'!Q31</f>
        <v>0.74684115523465711</v>
      </c>
      <c r="AG42" s="135" t="s">
        <v>212</v>
      </c>
      <c r="AH42" s="163">
        <f>'Nutrient Composition'!R31</f>
        <v>0.38470216606498198</v>
      </c>
      <c r="AI42" s="13">
        <f>(AH42*'ADC''s, HSB'!R40)/100</f>
        <v>0.38470216606498198</v>
      </c>
      <c r="AJ42" s="163">
        <f>'Nutrient Composition'!S31</f>
        <v>0.33506317689530685</v>
      </c>
      <c r="AK42" s="13">
        <f>(AJ42*'ADC''s, HSB'!S40)/100</f>
        <v>0.33506317689530685</v>
      </c>
      <c r="AL42" s="163">
        <f>'Nutrient Composition'!T31</f>
        <v>0.29896209386281591</v>
      </c>
      <c r="AM42" s="13">
        <f>(AL42*'ADC''s, HSB'!T40)/100</f>
        <v>0.29896209386281591</v>
      </c>
      <c r="AN42" s="163">
        <f>'Nutrient Composition'!U31</f>
        <v>0.45690433212996395</v>
      </c>
      <c r="AO42" s="13">
        <f>(AN42*'ADC''s, HSB'!U40)/100</f>
        <v>0.45690433212996395</v>
      </c>
      <c r="AP42" s="163">
        <f>'Nutrient Composition'!V31</f>
        <v>8.2885830324909744</v>
      </c>
      <c r="AQ42" s="13">
        <f>(AP42*'ADC''s, HSB'!V40)/100</f>
        <v>7.9695428170675653</v>
      </c>
      <c r="AR42" s="406" t="s">
        <v>212</v>
      </c>
      <c r="AS42" s="407" t="s">
        <v>212</v>
      </c>
      <c r="AT42" s="408" t="s">
        <v>212</v>
      </c>
      <c r="AU42" s="409" t="s">
        <v>212</v>
      </c>
      <c r="AV42" s="408" t="s">
        <v>212</v>
      </c>
      <c r="AW42" s="408" t="s">
        <v>212</v>
      </c>
      <c r="AX42" s="408" t="s">
        <v>212</v>
      </c>
      <c r="AY42" s="408" t="s">
        <v>212</v>
      </c>
      <c r="AZ42" s="410" t="s">
        <v>212</v>
      </c>
      <c r="BA42" s="411" t="s">
        <v>212</v>
      </c>
      <c r="BB42" s="408" t="s">
        <v>212</v>
      </c>
      <c r="BC42" s="408" t="s">
        <v>212</v>
      </c>
      <c r="BD42" s="408" t="s">
        <v>212</v>
      </c>
      <c r="BE42" s="412" t="s">
        <v>212</v>
      </c>
      <c r="BF42" s="78"/>
      <c r="BG42" s="353"/>
      <c r="BH42" s="77"/>
      <c r="BI42" s="353"/>
      <c r="BJ42" s="77"/>
      <c r="BK42" s="353"/>
    </row>
    <row r="43" spans="1:64">
      <c r="A43" s="335" t="s">
        <v>193</v>
      </c>
      <c r="B43" s="38">
        <f>'Nutrient Composition'!B11</f>
        <v>93.155000000000001</v>
      </c>
      <c r="C43" s="129">
        <f>(B43*'ADC''s, HSB'!C41)/100</f>
        <v>88.138507632036067</v>
      </c>
      <c r="D43" s="197" t="s">
        <v>212</v>
      </c>
      <c r="E43" s="195" t="s">
        <v>212</v>
      </c>
      <c r="F43" s="156">
        <f>'Nutrient Composition'!D11</f>
        <v>70.497557833717991</v>
      </c>
      <c r="G43" s="129">
        <f>(F43*'ADC''s, HSB'!E41)/100</f>
        <v>62.241657270645689</v>
      </c>
      <c r="H43" s="393">
        <f>'Nutrient Composition'!E11</f>
        <v>6647.3297192850623</v>
      </c>
      <c r="I43" s="128">
        <f>(H43*'ADC''s, HSB'!F41)/100</f>
        <v>6647.3297192850623</v>
      </c>
      <c r="J43" s="156">
        <f>'Nutrient Composition'!F11</f>
        <v>4.3046535344318606</v>
      </c>
      <c r="K43" s="129">
        <f>(J43*'ADC''s, HSB'!G41)/100</f>
        <v>4.3046535344318606</v>
      </c>
      <c r="L43" s="156">
        <f>'Nutrient Composition'!G11</f>
        <v>5.1312328914175298</v>
      </c>
      <c r="M43" s="129">
        <f>(L43*'ADC''s, HSB'!H41)/100</f>
        <v>5.0930031054700136</v>
      </c>
      <c r="N43" s="156">
        <f>'Nutrient Composition'!H11</f>
        <v>6.108099404218776</v>
      </c>
      <c r="O43" s="129">
        <f>(N43*'ADC''s, HSB'!I41)/100</f>
        <v>6.108099404218776</v>
      </c>
      <c r="P43" s="163">
        <f>'Nutrient Composition'!I11</f>
        <v>8.6844506467715092</v>
      </c>
      <c r="Q43" s="13">
        <f>(P43*'ADC''s, HSB'!J41)/100</f>
        <v>8.6844506467715092</v>
      </c>
      <c r="R43" s="163">
        <f>'Nutrient Composition'!J11</f>
        <v>4.3583275186517092</v>
      </c>
      <c r="S43" s="13">
        <f>(R43*'ADC''s, HSB'!K41)/100</f>
        <v>4.3583275186517092</v>
      </c>
      <c r="T43" s="163">
        <f>'Nutrient Composition'!K11</f>
        <v>1.8678546508507328</v>
      </c>
      <c r="U43" s="13">
        <f>(T43*'ADC''s, HSB'!L41)/100</f>
        <v>1.8443387424054785</v>
      </c>
      <c r="V43" s="163">
        <f>'Nutrient Composition'!L11</f>
        <v>3.0701518973753421</v>
      </c>
      <c r="W43" s="13">
        <f>(V43*'ADC''s, HSB'!M41)/100</f>
        <v>2.9305829040029101</v>
      </c>
      <c r="X43" s="163">
        <f>'Nutrient Composition'!M11</f>
        <v>5.1527024851054692</v>
      </c>
      <c r="Y43" s="13">
        <f>(X43*'ADC''s, HSB'!N41)/100</f>
        <v>5.1527024851054692</v>
      </c>
      <c r="Z43" s="163">
        <f>'Nutrient Composition'!N11</f>
        <v>5.2815200472331059</v>
      </c>
      <c r="AA43" s="13">
        <f>(Z43*'ADC''s, HSB'!O41)/100</f>
        <v>5.2978430800783984</v>
      </c>
      <c r="AB43" s="163">
        <f>'Nutrient Composition'!O11</f>
        <v>2.0074070098223391</v>
      </c>
      <c r="AC43" s="13">
        <f>(AB43*'ADC''s, HSB'!P41)/100</f>
        <v>1.9223577284463889</v>
      </c>
      <c r="AD43" s="163">
        <f>'Nutrient Composition'!P11</f>
        <v>2.8232515699640381</v>
      </c>
      <c r="AE43" s="13">
        <f>(AD43*'ADC''s, HSB'!Q41)/100</f>
        <v>2.7905401582018947</v>
      </c>
      <c r="AF43" s="163">
        <f>'Nutrient Composition'!Q11</f>
        <v>3.1238258815951911</v>
      </c>
      <c r="AG43" s="135" t="s">
        <v>212</v>
      </c>
      <c r="AH43" s="163">
        <f>'Nutrient Composition'!R11</f>
        <v>2.6729644141484625</v>
      </c>
      <c r="AI43" s="13">
        <f>(AH43*'ADC''s, HSB'!R41)/100</f>
        <v>2.6729644141484625</v>
      </c>
      <c r="AJ43" s="163">
        <f>'Nutrient Composition'!S11</f>
        <v>2.9842735226235844</v>
      </c>
      <c r="AK43" s="13">
        <f>(AJ43*'ADC''s, HSB'!S41)/100</f>
        <v>2.9842735226235844</v>
      </c>
      <c r="AL43" s="163">
        <f>'Nutrient Composition'!T11</f>
        <v>2.3294509151414311</v>
      </c>
      <c r="AM43" s="13">
        <f>(AL43*'ADC''s, HSB'!T41)/100</f>
        <v>2.2835554050248064</v>
      </c>
      <c r="AN43" s="163">
        <f>'Nutrient Composition'!U11</f>
        <v>3.5424829585100102</v>
      </c>
      <c r="AO43" s="13">
        <f>(AN43*'ADC''s, HSB'!U41)/100</f>
        <v>3.5314045488191739</v>
      </c>
      <c r="AP43" s="163">
        <f>'Nutrient Composition'!V11</f>
        <v>63.442649347861078</v>
      </c>
      <c r="AQ43" s="13">
        <f>(AP43*'ADC''s, HSB'!V41)/100</f>
        <v>62.853929789922219</v>
      </c>
      <c r="AR43" s="406" t="s">
        <v>212</v>
      </c>
      <c r="AS43" s="407" t="s">
        <v>212</v>
      </c>
      <c r="AT43" s="408" t="s">
        <v>212</v>
      </c>
      <c r="AU43" s="409" t="s">
        <v>212</v>
      </c>
      <c r="AV43" s="408" t="s">
        <v>212</v>
      </c>
      <c r="AW43" s="408" t="s">
        <v>212</v>
      </c>
      <c r="AX43" s="408" t="s">
        <v>212</v>
      </c>
      <c r="AY43" s="408" t="s">
        <v>212</v>
      </c>
      <c r="AZ43" s="163" t="s">
        <v>212</v>
      </c>
      <c r="BA43" s="349" t="s">
        <v>212</v>
      </c>
      <c r="BB43" s="20" t="s">
        <v>212</v>
      </c>
      <c r="BC43" s="20" t="s">
        <v>212</v>
      </c>
      <c r="BD43" s="20" t="s">
        <v>212</v>
      </c>
      <c r="BE43" s="304" t="s">
        <v>212</v>
      </c>
      <c r="BF43" s="78"/>
      <c r="BG43" s="353"/>
      <c r="BH43" s="77"/>
      <c r="BI43" s="353"/>
      <c r="BJ43" s="77"/>
      <c r="BK43" s="353"/>
    </row>
    <row r="44" spans="1:64">
      <c r="A44" s="43"/>
      <c r="B44" s="38"/>
    </row>
    <row r="45" spans="1:64">
      <c r="A45" s="43"/>
      <c r="B45" s="39"/>
      <c r="C45" s="39"/>
      <c r="D45" s="128"/>
      <c r="E45" s="128"/>
      <c r="F45" s="39"/>
      <c r="G45" s="39"/>
      <c r="H45" s="26"/>
      <c r="I45" s="26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13"/>
      <c r="AS45" s="13"/>
      <c r="AT45" s="13"/>
      <c r="AU45" s="13"/>
      <c r="AV45" s="13"/>
      <c r="AW45" s="13"/>
      <c r="AX45" s="13"/>
      <c r="AY45" s="13"/>
      <c r="AZ45" s="29"/>
      <c r="BA45" s="13"/>
      <c r="BB45" s="13"/>
      <c r="BC45" s="13"/>
      <c r="BD45" s="13"/>
      <c r="BE45" s="13"/>
      <c r="BF45" s="77"/>
      <c r="BG45" s="356"/>
      <c r="BH45" s="77"/>
      <c r="BI45" s="356"/>
      <c r="BJ45" s="356"/>
      <c r="BK45" s="356"/>
      <c r="BL45" s="31"/>
    </row>
    <row r="46" spans="1:64">
      <c r="A46" s="43"/>
      <c r="B46" s="39"/>
      <c r="C46" s="39"/>
      <c r="D46" s="128"/>
      <c r="E46" s="128"/>
      <c r="F46" s="39"/>
      <c r="G46" s="39"/>
      <c r="H46" s="26"/>
      <c r="I46" s="26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26"/>
      <c r="AQ46" s="39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31"/>
      <c r="BG46" s="31"/>
      <c r="BH46" s="31"/>
      <c r="BI46" s="31"/>
      <c r="BJ46" s="31"/>
      <c r="BK46" s="31"/>
      <c r="BL46" s="31"/>
    </row>
    <row r="47" spans="1:64">
      <c r="A47" s="43"/>
      <c r="B47" s="31"/>
      <c r="C47" s="31"/>
      <c r="D47" s="31"/>
      <c r="E47" s="31"/>
      <c r="F47" s="28"/>
      <c r="G47" s="39"/>
      <c r="H47" s="84"/>
      <c r="I47" s="26"/>
      <c r="J47" s="37"/>
      <c r="K47" s="39"/>
      <c r="L47" s="37"/>
      <c r="M47" s="39"/>
      <c r="N47" s="37"/>
      <c r="O47" s="39"/>
      <c r="P47" s="39"/>
      <c r="Q47" s="39"/>
      <c r="R47" s="37"/>
      <c r="S47" s="39"/>
      <c r="T47" s="37"/>
      <c r="U47" s="39"/>
      <c r="V47" s="37"/>
      <c r="W47" s="39"/>
      <c r="X47" s="37"/>
      <c r="Y47" s="39"/>
      <c r="Z47" s="37"/>
      <c r="AA47" s="39"/>
      <c r="AB47" s="37"/>
      <c r="AC47" s="39"/>
      <c r="AD47" s="37"/>
      <c r="AE47" s="39"/>
      <c r="AF47" s="37"/>
      <c r="AG47" s="37"/>
      <c r="AH47" s="37"/>
      <c r="AI47" s="39"/>
      <c r="AJ47" s="37"/>
      <c r="AK47" s="39"/>
      <c r="AL47" s="37"/>
      <c r="AM47" s="39"/>
      <c r="AN47" s="37"/>
      <c r="AO47" s="39"/>
      <c r="AP47" s="26"/>
      <c r="AQ47" s="39"/>
      <c r="AR47" s="42"/>
      <c r="AS47" s="29"/>
      <c r="AT47" s="39"/>
      <c r="AU47" s="384"/>
      <c r="AV47" s="31"/>
      <c r="AW47" s="42"/>
      <c r="AX47" s="39"/>
      <c r="AY47" s="37"/>
      <c r="AZ47" s="39"/>
      <c r="BA47" s="39"/>
      <c r="BB47" s="29"/>
      <c r="BC47" s="42"/>
      <c r="BD47" s="29"/>
      <c r="BE47" s="29"/>
      <c r="BF47" s="31"/>
      <c r="BG47" s="31"/>
      <c r="BH47" s="31"/>
      <c r="BI47" s="31"/>
      <c r="BJ47" s="31"/>
      <c r="BK47" s="31"/>
      <c r="BL47" s="31"/>
    </row>
    <row r="48" spans="1:64" ht="18.75">
      <c r="A48" s="43"/>
      <c r="B48" s="31"/>
      <c r="C48" s="31"/>
      <c r="D48" s="385"/>
      <c r="E48" s="385"/>
      <c r="F48" s="77"/>
      <c r="G48" s="77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85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"/>
      <c r="AQ48" s="77"/>
      <c r="AR48" s="31"/>
      <c r="AS48" s="31"/>
      <c r="AT48" s="31"/>
      <c r="AU48" s="31"/>
      <c r="AV48" s="9"/>
      <c r="AW48" s="385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</row>
    <row r="49" spans="1:64">
      <c r="A49" s="43"/>
      <c r="B49" s="460"/>
      <c r="C49" s="460"/>
      <c r="D49" s="460"/>
      <c r="E49" s="460"/>
      <c r="F49" s="460"/>
      <c r="G49" s="460"/>
      <c r="H49" s="460"/>
      <c r="I49" s="460"/>
      <c r="J49" s="459"/>
      <c r="K49" s="459"/>
      <c r="L49" s="459"/>
      <c r="M49" s="438"/>
      <c r="N49" s="459"/>
      <c r="O49" s="438"/>
      <c r="P49" s="459"/>
      <c r="Q49" s="438"/>
      <c r="R49" s="459"/>
      <c r="S49" s="438"/>
      <c r="T49" s="459"/>
      <c r="U49" s="438"/>
      <c r="V49" s="459"/>
      <c r="W49" s="438"/>
      <c r="X49" s="459"/>
      <c r="Y49" s="438"/>
      <c r="Z49" s="459"/>
      <c r="AA49" s="438"/>
      <c r="AB49" s="459"/>
      <c r="AC49" s="438"/>
      <c r="AD49" s="459"/>
      <c r="AE49" s="459"/>
      <c r="AF49" s="459"/>
      <c r="AG49" s="459"/>
      <c r="AH49" s="459"/>
      <c r="AI49" s="459"/>
      <c r="AJ49" s="459"/>
      <c r="AK49" s="459"/>
      <c r="AL49" s="459"/>
      <c r="AM49" s="438"/>
      <c r="AN49" s="459"/>
      <c r="AO49" s="459"/>
      <c r="AP49" s="459"/>
      <c r="AQ49" s="438"/>
      <c r="AR49" s="386"/>
      <c r="AS49" s="386"/>
      <c r="AT49" s="386"/>
      <c r="AU49" s="77"/>
      <c r="AV49" s="386"/>
      <c r="AW49" s="386"/>
      <c r="AX49" s="386"/>
      <c r="AY49" s="386"/>
      <c r="AZ49" s="460"/>
      <c r="BA49" s="460"/>
      <c r="BB49" s="386"/>
      <c r="BC49" s="386"/>
      <c r="BD49" s="386"/>
      <c r="BE49" s="386"/>
      <c r="BF49" s="31"/>
      <c r="BG49" s="31"/>
      <c r="BH49" s="31"/>
      <c r="BI49" s="31"/>
      <c r="BJ49" s="31"/>
      <c r="BK49" s="31"/>
      <c r="BL49" s="31"/>
    </row>
    <row r="50" spans="1:64">
      <c r="A50" s="38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2"/>
      <c r="AS50" s="184"/>
      <c r="AT50" s="2"/>
      <c r="AU50" s="77"/>
      <c r="AV50" s="2"/>
      <c r="AW50" s="2"/>
      <c r="AX50" s="2"/>
      <c r="AY50" s="2"/>
      <c r="AZ50" s="77"/>
      <c r="BA50" s="77"/>
      <c r="BB50" s="2"/>
      <c r="BC50" s="2"/>
      <c r="BD50" s="2"/>
      <c r="BE50" s="2"/>
      <c r="BF50" s="31"/>
      <c r="BG50" s="31"/>
      <c r="BH50" s="31"/>
      <c r="BI50" s="31"/>
      <c r="BJ50" s="31"/>
      <c r="BK50" s="31"/>
      <c r="BL50" s="31"/>
    </row>
    <row r="51" spans="1:64">
      <c r="A51" s="6"/>
      <c r="B51" s="4"/>
      <c r="C51" s="4"/>
      <c r="D51" s="129"/>
      <c r="E51" s="129"/>
      <c r="F51" s="4"/>
      <c r="G51" s="39"/>
      <c r="H51" s="59"/>
      <c r="I51" s="26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173"/>
      <c r="AS51" s="173"/>
      <c r="AT51" s="39"/>
      <c r="AU51" s="129"/>
      <c r="AV51" s="173"/>
      <c r="AW51" s="39"/>
      <c r="AX51" s="4"/>
      <c r="AY51" s="4"/>
      <c r="AZ51" s="173"/>
      <c r="BA51" s="173"/>
      <c r="BB51" s="173"/>
      <c r="BC51" s="173"/>
      <c r="BD51" s="173"/>
      <c r="BE51" s="39"/>
      <c r="BF51" s="29"/>
      <c r="BG51" s="31"/>
      <c r="BH51" s="31"/>
      <c r="BI51" s="31"/>
      <c r="BJ51" s="31"/>
      <c r="BK51" s="31"/>
      <c r="BL51" s="31"/>
    </row>
    <row r="52" spans="1:64">
      <c r="A52" s="6"/>
      <c r="B52" s="4"/>
      <c r="C52" s="4"/>
      <c r="D52" s="129"/>
      <c r="E52" s="129"/>
      <c r="F52" s="4"/>
      <c r="G52" s="39"/>
      <c r="H52" s="59"/>
      <c r="I52" s="26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173"/>
      <c r="AS52" s="173"/>
      <c r="AT52" s="39"/>
      <c r="AU52" s="129"/>
      <c r="AV52" s="173"/>
      <c r="AW52" s="39"/>
      <c r="AX52" s="4"/>
      <c r="AY52" s="129"/>
      <c r="AZ52" s="173"/>
      <c r="BA52" s="173"/>
      <c r="BB52" s="173"/>
      <c r="BC52" s="173"/>
      <c r="BD52" s="173"/>
      <c r="BE52" s="39"/>
      <c r="BF52" s="29"/>
      <c r="BG52" s="31"/>
      <c r="BH52" s="31"/>
      <c r="BI52" s="31"/>
      <c r="BJ52" s="31"/>
      <c r="BK52" s="31"/>
      <c r="BL52" s="31"/>
    </row>
    <row r="53" spans="1:64">
      <c r="A53" s="6"/>
      <c r="B53" s="4"/>
      <c r="C53" s="4"/>
      <c r="D53" s="129"/>
      <c r="E53" s="129"/>
      <c r="F53" s="4"/>
      <c r="G53" s="39"/>
      <c r="H53" s="59"/>
      <c r="I53" s="26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173"/>
      <c r="AS53" s="173"/>
      <c r="AT53" s="39"/>
      <c r="AU53" s="129"/>
      <c r="AV53" s="173"/>
      <c r="AW53" s="39"/>
      <c r="AX53" s="4"/>
      <c r="AY53" s="129"/>
      <c r="AZ53" s="173"/>
      <c r="BA53" s="173"/>
      <c r="BB53" s="173"/>
      <c r="BC53" s="173"/>
      <c r="BD53" s="173"/>
      <c r="BE53" s="39"/>
      <c r="BF53" s="29"/>
      <c r="BG53" s="31"/>
      <c r="BH53" s="31"/>
      <c r="BI53" s="31"/>
      <c r="BJ53" s="31"/>
      <c r="BK53" s="31"/>
      <c r="BL53" s="31"/>
    </row>
    <row r="54" spans="1:64">
      <c r="A54" s="6"/>
      <c r="B54" s="4"/>
      <c r="C54" s="4"/>
      <c r="D54" s="129"/>
      <c r="E54" s="129"/>
      <c r="F54" s="4"/>
      <c r="G54" s="39"/>
      <c r="H54" s="59"/>
      <c r="I54" s="26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173"/>
      <c r="AS54" s="173"/>
      <c r="AT54" s="39"/>
      <c r="AU54" s="129"/>
      <c r="AV54" s="173"/>
      <c r="AW54" s="39"/>
      <c r="AX54" s="129"/>
      <c r="AY54" s="129"/>
      <c r="AZ54" s="173"/>
      <c r="BA54" s="173"/>
      <c r="BB54" s="173"/>
      <c r="BC54" s="173"/>
      <c r="BD54" s="173"/>
      <c r="BE54" s="39"/>
      <c r="BF54" s="29"/>
      <c r="BG54" s="31"/>
      <c r="BH54" s="31"/>
      <c r="BI54" s="31"/>
      <c r="BJ54" s="31"/>
      <c r="BK54" s="31"/>
      <c r="BL54" s="31"/>
    </row>
    <row r="55" spans="1:64">
      <c r="A55" s="6"/>
      <c r="B55" s="4"/>
      <c r="C55" s="4"/>
      <c r="D55" s="129"/>
      <c r="E55" s="129"/>
      <c r="F55" s="4"/>
      <c r="G55" s="39"/>
      <c r="H55" s="59"/>
      <c r="I55" s="26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173"/>
      <c r="AS55" s="173"/>
      <c r="AT55" s="39"/>
      <c r="AU55" s="129"/>
      <c r="AV55" s="173"/>
      <c r="AW55" s="39"/>
      <c r="AX55" s="129"/>
      <c r="AY55" s="4"/>
      <c r="AZ55" s="173"/>
      <c r="BA55" s="173"/>
      <c r="BB55" s="173"/>
      <c r="BC55" s="173"/>
      <c r="BD55" s="173"/>
      <c r="BE55" s="39"/>
      <c r="BF55" s="29"/>
      <c r="BG55" s="31"/>
      <c r="BH55" s="31"/>
      <c r="BI55" s="31"/>
      <c r="BJ55" s="31"/>
      <c r="BK55" s="31"/>
      <c r="BL55" s="31"/>
    </row>
    <row r="56" spans="1:64">
      <c r="A56" s="141"/>
      <c r="B56" s="4"/>
      <c r="C56" s="4"/>
      <c r="D56" s="129"/>
      <c r="E56" s="129"/>
      <c r="F56" s="4"/>
      <c r="G56" s="39"/>
      <c r="H56" s="59"/>
      <c r="I56" s="26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173"/>
      <c r="AS56" s="173"/>
      <c r="AT56" s="39"/>
      <c r="AU56" s="129"/>
      <c r="AV56" s="173"/>
      <c r="AW56" s="39"/>
      <c r="AX56" s="129"/>
      <c r="AY56" s="129"/>
      <c r="AZ56" s="173"/>
      <c r="BA56" s="173"/>
      <c r="BB56" s="173"/>
      <c r="BC56" s="173"/>
      <c r="BD56" s="173"/>
      <c r="BE56" s="39"/>
      <c r="BF56" s="29"/>
      <c r="BG56" s="31"/>
      <c r="BH56" s="31"/>
      <c r="BI56" s="31"/>
      <c r="BJ56" s="31"/>
      <c r="BK56" s="31"/>
      <c r="BL56" s="31"/>
    </row>
    <row r="57" spans="1:64">
      <c r="A57" s="6"/>
      <c r="B57" s="4"/>
      <c r="C57" s="4"/>
      <c r="D57" s="129"/>
      <c r="E57" s="129"/>
      <c r="F57" s="4"/>
      <c r="G57" s="39"/>
      <c r="H57" s="59"/>
      <c r="I57" s="26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173"/>
      <c r="AS57" s="173"/>
      <c r="AT57" s="39"/>
      <c r="AU57" s="129"/>
      <c r="AV57" s="173"/>
      <c r="AW57" s="39"/>
      <c r="AX57" s="129"/>
      <c r="AY57" s="129"/>
      <c r="AZ57" s="173"/>
      <c r="BA57" s="173"/>
      <c r="BB57" s="173"/>
      <c r="BC57" s="173"/>
      <c r="BD57" s="173"/>
      <c r="BE57" s="39"/>
      <c r="BF57" s="29"/>
      <c r="BG57" s="31"/>
      <c r="BH57" s="31"/>
      <c r="BI57" s="31"/>
      <c r="BJ57" s="31"/>
      <c r="BK57" s="31"/>
      <c r="BL57" s="31"/>
    </row>
    <row r="58" spans="1:64">
      <c r="A58" s="6"/>
      <c r="B58" s="4"/>
      <c r="C58" s="4"/>
      <c r="D58" s="129"/>
      <c r="E58" s="129"/>
      <c r="F58" s="4"/>
      <c r="G58" s="39"/>
      <c r="H58" s="59"/>
      <c r="I58" s="26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173"/>
      <c r="AS58" s="173"/>
      <c r="AT58" s="39"/>
      <c r="AU58" s="129"/>
      <c r="AV58" s="173"/>
      <c r="AW58" s="39"/>
      <c r="AX58" s="129"/>
      <c r="AY58" s="129"/>
      <c r="AZ58" s="173"/>
      <c r="BA58" s="173"/>
      <c r="BB58" s="173"/>
      <c r="BC58" s="173"/>
      <c r="BD58" s="173"/>
      <c r="BE58" s="39"/>
      <c r="BF58" s="29"/>
      <c r="BG58" s="31"/>
      <c r="BH58" s="31"/>
      <c r="BI58" s="31"/>
      <c r="BJ58" s="31"/>
      <c r="BK58" s="31"/>
      <c r="BL58" s="31"/>
    </row>
    <row r="59" spans="1:64">
      <c r="A59" s="6"/>
      <c r="B59" s="4"/>
      <c r="C59" s="4"/>
      <c r="D59" s="4"/>
      <c r="E59" s="129"/>
      <c r="F59" s="4"/>
      <c r="G59" s="39"/>
      <c r="H59" s="59"/>
      <c r="I59" s="26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173"/>
      <c r="AS59" s="173"/>
      <c r="AT59" s="39"/>
      <c r="AU59" s="129"/>
      <c r="AV59" s="173"/>
      <c r="AW59" s="39"/>
      <c r="AX59" s="129"/>
      <c r="AY59" s="129"/>
      <c r="AZ59" s="173"/>
      <c r="BA59" s="173"/>
      <c r="BB59" s="173"/>
      <c r="BC59" s="173"/>
      <c r="BD59" s="173"/>
      <c r="BE59" s="39"/>
      <c r="BF59" s="29"/>
      <c r="BG59" s="31"/>
      <c r="BH59" s="31"/>
      <c r="BI59" s="31"/>
      <c r="BJ59" s="31"/>
      <c r="BK59" s="31"/>
      <c r="BL59" s="31"/>
    </row>
    <row r="60" spans="1:64">
      <c r="A60" s="6"/>
      <c r="B60" s="4"/>
      <c r="C60" s="4"/>
      <c r="D60" s="4"/>
      <c r="E60" s="4"/>
      <c r="F60" s="4"/>
      <c r="G60" s="39"/>
      <c r="H60" s="59"/>
      <c r="I60" s="26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26"/>
      <c r="AQ60" s="39"/>
      <c r="AR60" s="173"/>
      <c r="AS60" s="173"/>
      <c r="AT60" s="39"/>
      <c r="AU60" s="128"/>
      <c r="AV60" s="173"/>
      <c r="AW60" s="39"/>
      <c r="AX60" s="129"/>
      <c r="AY60" s="129"/>
      <c r="AZ60" s="173"/>
      <c r="BA60" s="173"/>
      <c r="BB60" s="173"/>
      <c r="BC60" s="173"/>
      <c r="BD60" s="173"/>
      <c r="BE60" s="29"/>
      <c r="BF60" s="29"/>
      <c r="BG60" s="31"/>
      <c r="BH60" s="31"/>
      <c r="BI60" s="31"/>
      <c r="BJ60" s="31"/>
      <c r="BK60" s="31"/>
      <c r="BL60" s="31"/>
    </row>
    <row r="61" spans="1:64">
      <c r="A61" s="6"/>
      <c r="B61" s="4"/>
      <c r="C61" s="4"/>
      <c r="D61" s="4"/>
      <c r="E61" s="4"/>
      <c r="F61" s="4"/>
      <c r="G61" s="39"/>
      <c r="H61" s="59"/>
      <c r="I61" s="26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26"/>
      <c r="AQ61" s="39"/>
      <c r="AR61" s="173"/>
      <c r="AS61" s="173"/>
      <c r="AT61" s="39"/>
      <c r="AU61" s="128"/>
      <c r="AV61" s="173"/>
      <c r="AW61" s="39"/>
      <c r="AX61" s="129"/>
      <c r="AY61" s="129"/>
      <c r="AZ61" s="173"/>
      <c r="BA61" s="173"/>
      <c r="BB61" s="173"/>
      <c r="BC61" s="173"/>
      <c r="BD61" s="173"/>
      <c r="BE61" s="29"/>
      <c r="BF61" s="29"/>
      <c r="BG61" s="31"/>
      <c r="BH61" s="31"/>
      <c r="BI61" s="31"/>
      <c r="BJ61" s="31"/>
      <c r="BK61" s="31"/>
      <c r="BL61" s="31"/>
    </row>
  </sheetData>
  <mergeCells count="92">
    <mergeCell ref="B5:C5"/>
    <mergeCell ref="D5:E5"/>
    <mergeCell ref="F5:G5"/>
    <mergeCell ref="H5:I5"/>
    <mergeCell ref="AF5:AG5"/>
    <mergeCell ref="V5:W5"/>
    <mergeCell ref="X5:Y5"/>
    <mergeCell ref="Z5:AA5"/>
    <mergeCell ref="AD5:AE5"/>
    <mergeCell ref="J5:K5"/>
    <mergeCell ref="AB5:AC5"/>
    <mergeCell ref="L5:M5"/>
    <mergeCell ref="N5:O5"/>
    <mergeCell ref="AN5:AO5"/>
    <mergeCell ref="AP5:AQ5"/>
    <mergeCell ref="AN22:AO22"/>
    <mergeCell ref="AL22:AM22"/>
    <mergeCell ref="AZ5:BA5"/>
    <mergeCell ref="AL5:AM5"/>
    <mergeCell ref="AZ22:BA22"/>
    <mergeCell ref="AP22:AQ22"/>
    <mergeCell ref="B22:C22"/>
    <mergeCell ref="D22:E22"/>
    <mergeCell ref="F22:G22"/>
    <mergeCell ref="H22:I22"/>
    <mergeCell ref="J22:K22"/>
    <mergeCell ref="AH5:AI5"/>
    <mergeCell ref="AJ5:AK5"/>
    <mergeCell ref="R22:S22"/>
    <mergeCell ref="L22:M22"/>
    <mergeCell ref="P5:Q5"/>
    <mergeCell ref="R5:S5"/>
    <mergeCell ref="T5:U5"/>
    <mergeCell ref="V22:W22"/>
    <mergeCell ref="X22:Y22"/>
    <mergeCell ref="Z22:AA22"/>
    <mergeCell ref="AD22:AE22"/>
    <mergeCell ref="AF22:AG22"/>
    <mergeCell ref="AH22:AI22"/>
    <mergeCell ref="AJ22:AK22"/>
    <mergeCell ref="T22:U22"/>
    <mergeCell ref="AB22:AC22"/>
    <mergeCell ref="AN49:AO49"/>
    <mergeCell ref="AP49:AQ49"/>
    <mergeCell ref="N22:O22"/>
    <mergeCell ref="X36:Y36"/>
    <mergeCell ref="Z36:AA36"/>
    <mergeCell ref="P36:Q36"/>
    <mergeCell ref="R36:S36"/>
    <mergeCell ref="T36:U36"/>
    <mergeCell ref="V36:W36"/>
    <mergeCell ref="P22:Q22"/>
    <mergeCell ref="BF36:BK36"/>
    <mergeCell ref="BJ37:BK37"/>
    <mergeCell ref="N36:O36"/>
    <mergeCell ref="P49:Q49"/>
    <mergeCell ref="R49:S49"/>
    <mergeCell ref="T49:U49"/>
    <mergeCell ref="V49:W49"/>
    <mergeCell ref="X49:Y49"/>
    <mergeCell ref="AZ49:BA49"/>
    <mergeCell ref="BF37:BG37"/>
    <mergeCell ref="Z49:AA49"/>
    <mergeCell ref="AB49:AC49"/>
    <mergeCell ref="AD49:AE49"/>
    <mergeCell ref="AF49:AG49"/>
    <mergeCell ref="AJ49:AK49"/>
    <mergeCell ref="AL49:AM49"/>
    <mergeCell ref="B36:C36"/>
    <mergeCell ref="D36:E36"/>
    <mergeCell ref="F36:G36"/>
    <mergeCell ref="H36:I36"/>
    <mergeCell ref="BH37:BI37"/>
    <mergeCell ref="J36:K36"/>
    <mergeCell ref="AN36:AO36"/>
    <mergeCell ref="AP36:AQ36"/>
    <mergeCell ref="AZ36:BA36"/>
    <mergeCell ref="AD36:AE36"/>
    <mergeCell ref="AF36:AG36"/>
    <mergeCell ref="AJ36:AK36"/>
    <mergeCell ref="AL36:AM36"/>
    <mergeCell ref="AH36:AI36"/>
    <mergeCell ref="AB36:AC36"/>
    <mergeCell ref="L36:M36"/>
    <mergeCell ref="J49:K49"/>
    <mergeCell ref="H49:I49"/>
    <mergeCell ref="B49:C49"/>
    <mergeCell ref="D49:E49"/>
    <mergeCell ref="AH49:AI49"/>
    <mergeCell ref="L49:M49"/>
    <mergeCell ref="N49:O49"/>
    <mergeCell ref="F49:G49"/>
  </mergeCells>
  <phoneticPr fontId="20" type="noConversion"/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B1:M55"/>
  <sheetViews>
    <sheetView showGridLines="0" zoomScaleNormal="100" workbookViewId="0">
      <selection activeCell="E72" sqref="E72"/>
    </sheetView>
  </sheetViews>
  <sheetFormatPr defaultRowHeight="12.75"/>
  <cols>
    <col min="2" max="2" width="49.42578125" customWidth="1"/>
    <col min="3" max="3" width="12" customWidth="1"/>
    <col min="4" max="4" width="11.5703125" customWidth="1"/>
    <col min="5" max="5" width="12.28515625" customWidth="1"/>
  </cols>
  <sheetData>
    <row r="1" spans="2:13" ht="25.5" customHeight="1"/>
    <row r="2" spans="2:13" ht="20.25">
      <c r="B2" s="86" t="s">
        <v>152</v>
      </c>
      <c r="H2" s="364" t="s">
        <v>248</v>
      </c>
      <c r="I2" s="21"/>
      <c r="J2" s="21"/>
      <c r="K2" s="21"/>
      <c r="L2" s="21"/>
      <c r="M2" s="21"/>
    </row>
    <row r="3" spans="2:13" ht="51">
      <c r="B3" s="17" t="s">
        <v>266</v>
      </c>
      <c r="C3" s="78" t="s">
        <v>104</v>
      </c>
      <c r="D3" s="78" t="s">
        <v>105</v>
      </c>
      <c r="E3" s="78" t="s">
        <v>106</v>
      </c>
      <c r="F3" s="78" t="s">
        <v>107</v>
      </c>
      <c r="G3" s="78" t="s">
        <v>108</v>
      </c>
      <c r="H3" s="78" t="s">
        <v>109</v>
      </c>
      <c r="I3" s="79" t="s">
        <v>110</v>
      </c>
      <c r="J3" s="78" t="s">
        <v>111</v>
      </c>
      <c r="K3" s="78" t="s">
        <v>112</v>
      </c>
      <c r="L3" s="78" t="s">
        <v>113</v>
      </c>
      <c r="M3" s="78" t="s">
        <v>114</v>
      </c>
    </row>
    <row r="4" spans="2:13">
      <c r="B4" s="17"/>
      <c r="C4" s="78" t="s">
        <v>115</v>
      </c>
      <c r="D4" s="78" t="s">
        <v>115</v>
      </c>
      <c r="E4" s="78" t="s">
        <v>115</v>
      </c>
      <c r="F4" s="78" t="s">
        <v>115</v>
      </c>
      <c r="G4" s="78" t="s">
        <v>115</v>
      </c>
      <c r="H4" s="78" t="s">
        <v>115</v>
      </c>
      <c r="I4" s="78"/>
      <c r="J4" s="78" t="s">
        <v>93</v>
      </c>
      <c r="K4" s="21"/>
      <c r="L4" s="21"/>
      <c r="M4" s="21"/>
    </row>
    <row r="5" spans="2:13">
      <c r="B5" s="416" t="s">
        <v>196</v>
      </c>
      <c r="C5" s="417">
        <v>67.38</v>
      </c>
      <c r="D5" s="417">
        <v>13.24</v>
      </c>
      <c r="E5" s="417">
        <v>97.83</v>
      </c>
      <c r="F5" s="417">
        <v>8.41</v>
      </c>
      <c r="G5" s="417">
        <v>1.66</v>
      </c>
      <c r="H5" s="417">
        <v>4.9400000000000004</v>
      </c>
      <c r="I5" s="418">
        <v>7.5999999999999998E-2</v>
      </c>
      <c r="J5" s="417">
        <v>46.2</v>
      </c>
      <c r="K5" s="417" t="s">
        <v>116</v>
      </c>
      <c r="L5" s="417" t="s">
        <v>117</v>
      </c>
      <c r="M5" s="417" t="s">
        <v>117</v>
      </c>
    </row>
    <row r="6" spans="2:13">
      <c r="B6" s="416" t="s">
        <v>197</v>
      </c>
      <c r="C6" s="417">
        <v>61.34</v>
      </c>
      <c r="D6" s="417">
        <v>16.46</v>
      </c>
      <c r="E6" s="417">
        <v>74.349999999999994</v>
      </c>
      <c r="F6" s="417">
        <v>0</v>
      </c>
      <c r="G6" s="417">
        <v>0.63</v>
      </c>
      <c r="H6" s="417">
        <v>1.75</v>
      </c>
      <c r="I6" s="418">
        <v>0.113</v>
      </c>
      <c r="J6" s="417">
        <v>50.7</v>
      </c>
      <c r="K6" s="417">
        <v>3.6</v>
      </c>
      <c r="L6" s="417" t="s">
        <v>117</v>
      </c>
      <c r="M6" s="417" t="s">
        <v>117</v>
      </c>
    </row>
    <row r="7" spans="2:13">
      <c r="B7" s="416" t="s">
        <v>198</v>
      </c>
      <c r="C7" s="417">
        <v>62.45</v>
      </c>
      <c r="D7" s="417">
        <v>14.52</v>
      </c>
      <c r="E7" s="417">
        <v>75.900000000000006</v>
      </c>
      <c r="F7" s="417">
        <v>0</v>
      </c>
      <c r="G7" s="417">
        <v>0.85</v>
      </c>
      <c r="H7" s="417">
        <v>1.78</v>
      </c>
      <c r="I7" s="418">
        <v>0.12</v>
      </c>
      <c r="J7" s="417">
        <v>51.7</v>
      </c>
      <c r="K7" s="417" t="s">
        <v>116</v>
      </c>
      <c r="L7" s="417" t="s">
        <v>117</v>
      </c>
      <c r="M7" s="417" t="s">
        <v>117</v>
      </c>
    </row>
    <row r="8" spans="2:13">
      <c r="B8" s="419" t="s">
        <v>153</v>
      </c>
      <c r="C8" s="417">
        <v>17.91</v>
      </c>
      <c r="D8" s="417">
        <v>23.52</v>
      </c>
      <c r="E8" s="417">
        <v>5.04</v>
      </c>
      <c r="F8" s="417">
        <v>0</v>
      </c>
      <c r="G8" s="417">
        <v>3.94</v>
      </c>
      <c r="H8" s="417">
        <v>4.12</v>
      </c>
      <c r="I8" s="418">
        <v>0.11</v>
      </c>
      <c r="J8" s="417">
        <v>61.4</v>
      </c>
      <c r="K8" s="417">
        <v>0.9</v>
      </c>
      <c r="L8" s="417" t="s">
        <v>117</v>
      </c>
      <c r="M8" s="417" t="s">
        <v>117</v>
      </c>
    </row>
    <row r="9" spans="2:13">
      <c r="B9" s="420" t="s">
        <v>65</v>
      </c>
      <c r="C9" s="417">
        <v>35.83</v>
      </c>
      <c r="D9" s="417">
        <v>7.76</v>
      </c>
      <c r="E9" s="417">
        <v>15.26</v>
      </c>
      <c r="F9" s="417">
        <v>0</v>
      </c>
      <c r="G9" s="417">
        <v>0.54</v>
      </c>
      <c r="H9" s="417">
        <v>1.39</v>
      </c>
      <c r="I9" s="418">
        <v>3.1E-2</v>
      </c>
      <c r="J9" s="417">
        <v>55.3</v>
      </c>
      <c r="K9" s="421">
        <v>1</v>
      </c>
      <c r="L9" s="417" t="s">
        <v>117</v>
      </c>
      <c r="M9" s="417" t="s">
        <v>117</v>
      </c>
    </row>
    <row r="10" spans="2:13"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2:13">
      <c r="B11" s="252" t="s">
        <v>241</v>
      </c>
      <c r="H11" s="21"/>
      <c r="I11" s="21"/>
      <c r="J11" s="21"/>
      <c r="K11" s="21"/>
      <c r="L11" s="21"/>
      <c r="M11" s="21"/>
    </row>
    <row r="12" spans="2:13">
      <c r="H12" s="21"/>
      <c r="I12" s="21"/>
      <c r="J12" s="21"/>
      <c r="K12" s="21"/>
      <c r="L12" s="21"/>
      <c r="M12" s="21"/>
    </row>
    <row r="13" spans="2:13">
      <c r="H13" s="21"/>
      <c r="I13" s="21"/>
      <c r="J13" s="21"/>
      <c r="K13" s="21"/>
      <c r="L13" s="21"/>
      <c r="M13" s="21"/>
    </row>
    <row r="14" spans="2:13">
      <c r="C14" s="21"/>
      <c r="D14" s="21"/>
      <c r="E14" s="21"/>
      <c r="H14" s="21"/>
      <c r="I14" s="21"/>
      <c r="J14" s="21"/>
      <c r="K14" s="21"/>
      <c r="L14" s="21"/>
      <c r="M14" s="21"/>
    </row>
    <row r="15" spans="2:13">
      <c r="C15" s="21"/>
      <c r="D15" s="21"/>
      <c r="E15" s="21"/>
      <c r="H15" s="21"/>
      <c r="I15" s="21"/>
      <c r="J15" s="21"/>
      <c r="K15" s="21"/>
      <c r="L15" s="21"/>
      <c r="M15" s="21"/>
    </row>
    <row r="16" spans="2:13">
      <c r="C16" s="21"/>
      <c r="D16" s="21"/>
      <c r="E16" s="21"/>
      <c r="H16" s="21"/>
      <c r="I16" s="21"/>
      <c r="J16" s="21"/>
      <c r="K16" s="21"/>
      <c r="L16" s="21"/>
      <c r="M16" s="21"/>
    </row>
    <row r="17" spans="2:13">
      <c r="C17" s="21"/>
      <c r="D17" s="21"/>
      <c r="E17" s="21"/>
      <c r="H17" s="21"/>
      <c r="I17" s="21"/>
      <c r="J17" s="21"/>
      <c r="K17" s="21"/>
      <c r="L17" s="21"/>
      <c r="M17" s="21"/>
    </row>
    <row r="18" spans="2:13">
      <c r="B18" s="17" t="s">
        <v>118</v>
      </c>
      <c r="C18" s="78" t="s">
        <v>119</v>
      </c>
      <c r="D18" s="78" t="s">
        <v>120</v>
      </c>
      <c r="E18" s="78" t="s">
        <v>121</v>
      </c>
      <c r="F18" s="78" t="s">
        <v>112</v>
      </c>
      <c r="G18" s="78" t="s">
        <v>113</v>
      </c>
      <c r="H18" s="78" t="s">
        <v>114</v>
      </c>
      <c r="I18" s="21"/>
      <c r="J18" s="46"/>
      <c r="K18" s="21"/>
      <c r="L18" s="21"/>
      <c r="M18" s="21"/>
    </row>
    <row r="19" spans="2:13">
      <c r="B19" s="17"/>
      <c r="C19" s="78" t="s">
        <v>115</v>
      </c>
      <c r="D19" s="78" t="s">
        <v>115</v>
      </c>
      <c r="E19" s="78" t="s">
        <v>115</v>
      </c>
      <c r="H19" s="21"/>
      <c r="I19" s="21"/>
      <c r="J19" s="21"/>
      <c r="K19" s="21"/>
      <c r="L19" s="21"/>
      <c r="M19" s="21"/>
    </row>
    <row r="20" spans="2:13">
      <c r="B20" s="6" t="s">
        <v>70</v>
      </c>
      <c r="C20" s="422">
        <v>2.7480000000000002</v>
      </c>
      <c r="D20" s="422">
        <v>0.95799999999999996</v>
      </c>
      <c r="E20" s="422">
        <v>6.351</v>
      </c>
      <c r="F20" s="423">
        <v>1</v>
      </c>
      <c r="G20" s="423">
        <v>0.05</v>
      </c>
      <c r="H20" s="423">
        <v>0.94</v>
      </c>
      <c r="I20" s="417"/>
      <c r="J20" s="424"/>
      <c r="K20" s="21"/>
      <c r="L20" s="21"/>
      <c r="M20" s="21"/>
    </row>
    <row r="21" spans="2:13">
      <c r="B21" s="31" t="s">
        <v>153</v>
      </c>
      <c r="C21" s="422">
        <v>4.7249999999999996</v>
      </c>
      <c r="D21" s="422">
        <v>1.022</v>
      </c>
      <c r="E21" s="422">
        <v>0.80300000000000005</v>
      </c>
      <c r="F21" s="422">
        <v>0.6</v>
      </c>
      <c r="G21" s="422">
        <v>5.18</v>
      </c>
      <c r="H21" s="417">
        <v>0.87</v>
      </c>
      <c r="I21" s="417"/>
      <c r="J21" s="425"/>
      <c r="K21" s="21"/>
      <c r="L21" s="21"/>
      <c r="M21" s="21"/>
    </row>
    <row r="22" spans="2:13">
      <c r="B22" s="40" t="s">
        <v>66</v>
      </c>
      <c r="C22" s="422">
        <v>77.882000000000005</v>
      </c>
      <c r="D22" s="422">
        <v>16.77</v>
      </c>
      <c r="E22" s="422">
        <v>61.540999999999997</v>
      </c>
      <c r="F22" s="422">
        <v>1.7</v>
      </c>
      <c r="G22" s="422">
        <v>14.75</v>
      </c>
      <c r="H22" s="417">
        <v>23.35</v>
      </c>
      <c r="I22" s="417"/>
      <c r="J22" s="425"/>
      <c r="K22" s="21"/>
      <c r="L22" s="21"/>
      <c r="M22" s="21"/>
    </row>
    <row r="23" spans="2:13">
      <c r="B23" s="43" t="s">
        <v>171</v>
      </c>
      <c r="C23" s="422">
        <v>71.5</v>
      </c>
      <c r="D23" s="422">
        <v>0</v>
      </c>
      <c r="E23" s="422">
        <v>0.69</v>
      </c>
      <c r="F23" s="426"/>
      <c r="G23" s="426"/>
      <c r="H23" s="417"/>
      <c r="I23" s="417"/>
      <c r="J23" s="417"/>
      <c r="K23" s="21"/>
      <c r="L23" s="21"/>
      <c r="M23" s="21"/>
    </row>
    <row r="24" spans="2:13">
      <c r="C24" s="21"/>
      <c r="D24" s="21"/>
      <c r="E24" s="21"/>
      <c r="H24" s="21"/>
      <c r="I24" s="21"/>
      <c r="J24" s="21"/>
      <c r="K24" s="21"/>
      <c r="L24" s="21"/>
      <c r="M24" s="21"/>
    </row>
    <row r="25" spans="2:13">
      <c r="C25" s="21"/>
      <c r="D25" s="21"/>
      <c r="E25" s="21"/>
      <c r="H25" s="21"/>
      <c r="I25" s="21"/>
      <c r="J25" s="21"/>
      <c r="K25" s="21"/>
      <c r="L25" s="21"/>
      <c r="M25" s="21"/>
    </row>
    <row r="26" spans="2:13">
      <c r="C26" s="21"/>
      <c r="D26" s="21"/>
      <c r="E26" s="21"/>
      <c r="H26" s="21"/>
      <c r="I26" s="21"/>
      <c r="J26" s="21"/>
      <c r="K26" s="21"/>
      <c r="L26" s="21"/>
      <c r="M26" s="21"/>
    </row>
    <row r="27" spans="2:13">
      <c r="C27" s="21"/>
      <c r="D27" s="21"/>
      <c r="E27" s="21"/>
      <c r="H27" s="21"/>
      <c r="I27" s="21"/>
      <c r="J27" s="21"/>
      <c r="K27" s="21"/>
      <c r="L27" s="21"/>
      <c r="M27" s="21"/>
    </row>
    <row r="28" spans="2:13" ht="20.25">
      <c r="B28" s="86" t="s">
        <v>161</v>
      </c>
      <c r="H28" s="21"/>
      <c r="I28" s="21"/>
      <c r="J28" s="21"/>
      <c r="K28" s="21"/>
      <c r="L28" s="21"/>
      <c r="M28" s="21"/>
    </row>
    <row r="29" spans="2:13">
      <c r="H29" s="21"/>
      <c r="I29" s="21"/>
      <c r="J29" s="21"/>
      <c r="K29" s="21"/>
      <c r="L29" s="21"/>
      <c r="M29" s="21"/>
    </row>
    <row r="30" spans="2:13">
      <c r="B30" s="17" t="s">
        <v>122</v>
      </c>
      <c r="C30" s="17" t="s">
        <v>123</v>
      </c>
      <c r="D30" s="17" t="s">
        <v>124</v>
      </c>
      <c r="E30" s="17" t="s">
        <v>125</v>
      </c>
      <c r="H30" s="21"/>
      <c r="I30" s="21"/>
      <c r="J30" s="21"/>
      <c r="K30" s="21"/>
      <c r="L30" s="21"/>
      <c r="M30" s="21"/>
    </row>
    <row r="31" spans="2:13">
      <c r="B31" s="17"/>
      <c r="C31" s="370" t="s">
        <v>126</v>
      </c>
      <c r="D31" s="370" t="s">
        <v>126</v>
      </c>
      <c r="E31" s="370" t="s">
        <v>126</v>
      </c>
      <c r="H31" s="21"/>
      <c r="I31" s="21"/>
      <c r="J31" s="21"/>
      <c r="K31" s="21"/>
      <c r="L31" s="21"/>
      <c r="M31" s="21"/>
    </row>
    <row r="32" spans="2:13">
      <c r="B32" t="s">
        <v>127</v>
      </c>
      <c r="C32" s="417" t="s">
        <v>128</v>
      </c>
      <c r="D32" s="417" t="s">
        <v>128</v>
      </c>
      <c r="E32" s="417" t="s">
        <v>128</v>
      </c>
      <c r="H32" s="21"/>
      <c r="I32" s="21"/>
      <c r="J32" s="21"/>
      <c r="K32" s="21"/>
      <c r="L32" s="21"/>
      <c r="M32" s="21"/>
    </row>
    <row r="33" spans="2:13">
      <c r="B33" t="s">
        <v>129</v>
      </c>
      <c r="C33" s="417" t="s">
        <v>128</v>
      </c>
      <c r="D33" s="417" t="s">
        <v>128</v>
      </c>
      <c r="E33" s="417" t="s">
        <v>128</v>
      </c>
      <c r="H33" s="21"/>
      <c r="I33" s="21"/>
      <c r="J33" s="21"/>
      <c r="K33" s="21"/>
      <c r="L33" s="21"/>
      <c r="M33" s="21"/>
    </row>
    <row r="34" spans="2:13">
      <c r="B34" t="s">
        <v>130</v>
      </c>
      <c r="C34" s="417" t="s">
        <v>128</v>
      </c>
      <c r="D34" s="417" t="s">
        <v>128</v>
      </c>
      <c r="E34" s="417" t="s">
        <v>128</v>
      </c>
      <c r="H34" s="21"/>
      <c r="I34" s="21"/>
      <c r="J34" s="21"/>
      <c r="K34" s="21"/>
      <c r="L34" s="21"/>
      <c r="M34" s="21"/>
    </row>
    <row r="35" spans="2:13">
      <c r="B35" t="s">
        <v>131</v>
      </c>
      <c r="C35" s="417" t="s">
        <v>128</v>
      </c>
      <c r="D35" s="417" t="s">
        <v>128</v>
      </c>
      <c r="E35" s="417" t="s">
        <v>128</v>
      </c>
      <c r="H35" s="21"/>
      <c r="I35" s="21"/>
      <c r="J35" s="21"/>
      <c r="K35" s="21"/>
      <c r="L35" s="21"/>
      <c r="M35" s="21"/>
    </row>
    <row r="36" spans="2:13">
      <c r="B36" t="s">
        <v>132</v>
      </c>
      <c r="C36" s="417" t="s">
        <v>128</v>
      </c>
      <c r="D36" s="417" t="s">
        <v>128</v>
      </c>
      <c r="E36" s="417" t="s">
        <v>128</v>
      </c>
      <c r="H36" s="21"/>
      <c r="I36" s="21"/>
      <c r="J36" s="21"/>
      <c r="K36" s="21"/>
      <c r="L36" s="21"/>
      <c r="M36" s="21"/>
    </row>
    <row r="37" spans="2:13">
      <c r="B37" t="s">
        <v>133</v>
      </c>
      <c r="C37" s="417" t="s">
        <v>128</v>
      </c>
      <c r="D37" s="417" t="s">
        <v>128</v>
      </c>
      <c r="E37" s="417" t="s">
        <v>128</v>
      </c>
      <c r="H37" s="21"/>
      <c r="I37" s="21"/>
      <c r="J37" s="21"/>
      <c r="K37" s="21"/>
      <c r="L37" s="21"/>
      <c r="M37" s="21"/>
    </row>
    <row r="38" spans="2:13">
      <c r="B38" t="s">
        <v>134</v>
      </c>
      <c r="C38" s="417" t="s">
        <v>128</v>
      </c>
      <c r="D38" s="417" t="s">
        <v>128</v>
      </c>
      <c r="E38" s="417" t="s">
        <v>128</v>
      </c>
      <c r="H38" s="21"/>
      <c r="I38" s="21"/>
      <c r="J38" s="21"/>
      <c r="K38" s="21"/>
      <c r="L38" s="21"/>
      <c r="M38" s="21"/>
    </row>
    <row r="39" spans="2:13">
      <c r="B39" t="s">
        <v>135</v>
      </c>
      <c r="C39" s="417" t="s">
        <v>128</v>
      </c>
      <c r="D39" s="417" t="s">
        <v>128</v>
      </c>
      <c r="E39" s="417" t="s">
        <v>128</v>
      </c>
      <c r="H39" s="21"/>
      <c r="I39" s="21"/>
      <c r="J39" s="21"/>
      <c r="K39" s="21"/>
      <c r="L39" s="21"/>
      <c r="M39" s="21"/>
    </row>
    <row r="40" spans="2:13">
      <c r="B40" t="s">
        <v>136</v>
      </c>
      <c r="C40" s="417" t="s">
        <v>128</v>
      </c>
      <c r="D40" s="417" t="s">
        <v>128</v>
      </c>
      <c r="E40" s="417" t="s">
        <v>128</v>
      </c>
      <c r="H40" s="21"/>
      <c r="I40" s="21"/>
      <c r="J40" s="21"/>
      <c r="K40" s="21"/>
      <c r="L40" s="21"/>
      <c r="M40" s="21"/>
    </row>
    <row r="41" spans="2:13">
      <c r="B41" t="s">
        <v>137</v>
      </c>
      <c r="C41" s="417" t="s">
        <v>128</v>
      </c>
      <c r="D41" s="417" t="s">
        <v>128</v>
      </c>
      <c r="E41" s="417" t="s">
        <v>128</v>
      </c>
      <c r="H41" s="21"/>
      <c r="I41" s="21"/>
      <c r="J41" s="21"/>
      <c r="K41" s="21"/>
      <c r="L41" s="21"/>
      <c r="M41" s="21"/>
    </row>
    <row r="42" spans="2:13">
      <c r="B42" t="s">
        <v>138</v>
      </c>
      <c r="C42" s="417" t="s">
        <v>128</v>
      </c>
      <c r="D42" s="417" t="s">
        <v>128</v>
      </c>
      <c r="E42" s="417" t="s">
        <v>128</v>
      </c>
      <c r="H42" s="21"/>
      <c r="I42" s="21"/>
      <c r="J42" s="21"/>
      <c r="K42" s="21"/>
      <c r="L42" s="21"/>
      <c r="M42" s="21"/>
    </row>
    <row r="43" spans="2:13">
      <c r="B43" t="s">
        <v>139</v>
      </c>
      <c r="C43" s="417" t="s">
        <v>128</v>
      </c>
      <c r="D43" s="417" t="s">
        <v>128</v>
      </c>
      <c r="E43" s="417" t="s">
        <v>128</v>
      </c>
      <c r="H43" s="21"/>
      <c r="I43" s="21"/>
      <c r="J43" s="21"/>
      <c r="K43" s="21"/>
      <c r="L43" s="21"/>
      <c r="M43" s="21"/>
    </row>
    <row r="44" spans="2:13">
      <c r="B44" t="s">
        <v>140</v>
      </c>
      <c r="C44" s="417" t="s">
        <v>128</v>
      </c>
      <c r="D44" s="417" t="s">
        <v>128</v>
      </c>
      <c r="E44" s="417" t="s">
        <v>128</v>
      </c>
      <c r="H44" s="21"/>
      <c r="I44" s="21"/>
      <c r="J44" s="21"/>
      <c r="K44" s="21"/>
      <c r="L44" s="21"/>
      <c r="M44" s="21"/>
    </row>
    <row r="45" spans="2:13">
      <c r="B45" t="s">
        <v>141</v>
      </c>
      <c r="C45" s="417" t="s">
        <v>128</v>
      </c>
      <c r="D45" s="417" t="s">
        <v>128</v>
      </c>
      <c r="E45" s="417" t="s">
        <v>128</v>
      </c>
      <c r="H45" s="21"/>
      <c r="I45" s="21"/>
      <c r="J45" s="21"/>
      <c r="K45" s="21"/>
      <c r="L45" s="21"/>
      <c r="M45" s="21"/>
    </row>
    <row r="46" spans="2:13">
      <c r="B46" t="s">
        <v>142</v>
      </c>
      <c r="C46" s="417" t="s">
        <v>128</v>
      </c>
      <c r="D46" s="417" t="s">
        <v>128</v>
      </c>
      <c r="E46" s="417" t="s">
        <v>128</v>
      </c>
      <c r="H46" s="21"/>
      <c r="I46" s="21"/>
      <c r="J46" s="21"/>
      <c r="K46" s="21"/>
      <c r="L46" s="21"/>
      <c r="M46" s="21"/>
    </row>
    <row r="47" spans="2:13">
      <c r="B47" t="s">
        <v>143</v>
      </c>
      <c r="C47" s="417" t="s">
        <v>128</v>
      </c>
      <c r="D47" s="417" t="s">
        <v>128</v>
      </c>
      <c r="E47" s="417" t="s">
        <v>128</v>
      </c>
      <c r="H47" s="21"/>
      <c r="I47" s="21"/>
      <c r="J47" s="21"/>
      <c r="K47" s="21"/>
      <c r="L47" s="21"/>
      <c r="M47" s="21"/>
    </row>
    <row r="48" spans="2:13">
      <c r="B48" t="s">
        <v>144</v>
      </c>
      <c r="C48" s="417" t="s">
        <v>128</v>
      </c>
      <c r="D48" s="417" t="s">
        <v>128</v>
      </c>
      <c r="E48" s="417" t="s">
        <v>128</v>
      </c>
      <c r="H48" s="21"/>
      <c r="I48" s="21"/>
      <c r="J48" s="21"/>
      <c r="K48" s="21"/>
      <c r="L48" s="21"/>
      <c r="M48" s="21"/>
    </row>
    <row r="49" spans="2:13">
      <c r="B49" t="s">
        <v>145</v>
      </c>
      <c r="C49" s="417" t="s">
        <v>146</v>
      </c>
      <c r="D49" s="417" t="s">
        <v>146</v>
      </c>
      <c r="E49" s="417" t="s">
        <v>146</v>
      </c>
      <c r="H49" s="21"/>
      <c r="I49" s="21"/>
      <c r="J49" s="21"/>
      <c r="K49" s="21"/>
      <c r="L49" s="21"/>
      <c r="M49" s="21"/>
    </row>
    <row r="50" spans="2:13">
      <c r="B50" t="s">
        <v>147</v>
      </c>
      <c r="C50" s="417" t="s">
        <v>148</v>
      </c>
      <c r="D50" s="417" t="s">
        <v>148</v>
      </c>
      <c r="E50" s="417" t="s">
        <v>148</v>
      </c>
      <c r="H50" s="21"/>
      <c r="I50" s="21"/>
      <c r="J50" s="21"/>
      <c r="K50" s="21"/>
      <c r="L50" s="21"/>
      <c r="M50" s="21"/>
    </row>
    <row r="51" spans="2:13">
      <c r="H51" s="21"/>
      <c r="I51" s="21"/>
      <c r="J51" s="21"/>
      <c r="K51" s="21"/>
      <c r="L51" s="21"/>
      <c r="M51" s="21"/>
    </row>
    <row r="52" spans="2:13">
      <c r="B52" t="s">
        <v>149</v>
      </c>
      <c r="H52" s="21"/>
      <c r="I52" s="21"/>
      <c r="J52" s="21"/>
      <c r="K52" s="21"/>
      <c r="L52" s="21"/>
      <c r="M52" s="21"/>
    </row>
    <row r="53" spans="2:13">
      <c r="B53" t="s">
        <v>150</v>
      </c>
      <c r="H53" s="21"/>
      <c r="I53" s="21"/>
      <c r="J53" s="21"/>
      <c r="K53" s="21"/>
      <c r="L53" s="21"/>
      <c r="M53" s="21"/>
    </row>
    <row r="54" spans="2:13">
      <c r="B54" t="s">
        <v>151</v>
      </c>
      <c r="H54" s="21"/>
      <c r="I54" s="21"/>
      <c r="J54" s="21"/>
      <c r="K54" s="21"/>
      <c r="L54" s="21"/>
      <c r="M54" s="21"/>
    </row>
    <row r="55" spans="2:13">
      <c r="H55" s="21"/>
      <c r="I55" s="21"/>
      <c r="J55" s="21"/>
      <c r="K55" s="21"/>
      <c r="L55" s="21"/>
      <c r="M55" s="21"/>
    </row>
  </sheetData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12</vt:i4>
      </vt:variant>
    </vt:vector>
  </HeadingPairs>
  <TitlesOfParts>
    <vt:vector size="23" baseType="lpstr">
      <vt:lpstr>Project Description</vt:lpstr>
      <vt:lpstr>Procedures</vt:lpstr>
      <vt:lpstr>Reference diet formulas</vt:lpstr>
      <vt:lpstr>Nutrient Composition</vt:lpstr>
      <vt:lpstr>ADC's, Trout</vt:lpstr>
      <vt:lpstr>ADC's, HSB</vt:lpstr>
      <vt:lpstr>Total &amp; Dig, Trout</vt:lpstr>
      <vt:lpstr>Total &amp; Dig, HSB</vt:lpstr>
      <vt:lpstr>Anti-nutrients</vt:lpstr>
      <vt:lpstr>Acknowledgement</vt:lpstr>
      <vt:lpstr>Contact</vt:lpstr>
      <vt:lpstr>Contact!OLE_LINK10</vt:lpstr>
      <vt:lpstr>Acknowledgement!OLE_LINK2</vt:lpstr>
      <vt:lpstr>Contact!OLE_LINK30</vt:lpstr>
      <vt:lpstr>Acknowledgement!OLE_LINK31</vt:lpstr>
      <vt:lpstr>'ADC''s, Trout'!OLE_LINK32</vt:lpstr>
      <vt:lpstr>Acknowledgement!OLE_LINK34</vt:lpstr>
      <vt:lpstr>'Project Description'!OLE_LINK42</vt:lpstr>
      <vt:lpstr>Acknowledgement!OLE_LINK51</vt:lpstr>
      <vt:lpstr>'ADC''s, HSB'!OLE_LINK52</vt:lpstr>
      <vt:lpstr>'Project Description'!OLE_LINK54</vt:lpstr>
      <vt:lpstr>'Project Description'!OLE_LINK57</vt:lpstr>
      <vt:lpstr>'ADC''s, Trout'!OLE_LINK7</vt:lpstr>
    </vt:vector>
  </TitlesOfParts>
  <Company>USDA-ARS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Gibson Gaylord</dc:creator>
  <cp:lastModifiedBy>Susy</cp:lastModifiedBy>
  <cp:lastPrinted>2011-04-07T14:02:34Z</cp:lastPrinted>
  <dcterms:created xsi:type="dcterms:W3CDTF">2010-08-06T21:58:20Z</dcterms:created>
  <dcterms:modified xsi:type="dcterms:W3CDTF">2011-11-14T23:17:06Z</dcterms:modified>
</cp:coreProperties>
</file>