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65" windowHeight="11595" activeTab="2"/>
  </bookViews>
  <sheets>
    <sheet name="M23SE" sheetId="1" r:id="rId1"/>
    <sheet name="M23ST" sheetId="2" r:id="rId2"/>
    <sheet name="M23SD" sheetId="3" r:id="rId3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0</definedName>
    <definedName name="RiskFixedSeed" hidden="1">4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</definedNames>
  <calcPr calcId="125725"/>
</workbook>
</file>

<file path=xl/calcChain.xml><?xml version="1.0" encoding="utf-8"?>
<calcChain xmlns="http://schemas.openxmlformats.org/spreadsheetml/2006/main">
  <c r="A29" i="3"/>
  <c r="A27"/>
  <c r="A25"/>
  <c r="C5" s="1"/>
  <c r="A29" i="2"/>
  <c r="A27"/>
  <c r="A25"/>
  <c r="C5" s="1"/>
  <c r="A29" i="1"/>
  <c r="A27"/>
  <c r="A25"/>
  <c r="B6" i="3" l="1"/>
  <c r="C6" s="1"/>
  <c r="B7"/>
  <c r="C7" s="1"/>
  <c r="B8"/>
  <c r="C8" s="1"/>
  <c r="B18"/>
  <c r="B21" s="1"/>
  <c r="C21" s="1"/>
  <c r="B15"/>
  <c r="C15" s="1"/>
  <c r="B11"/>
  <c r="C11" s="1"/>
  <c r="B9"/>
  <c r="C9" s="1"/>
  <c r="C18"/>
  <c r="B19"/>
  <c r="C19" s="1"/>
  <c r="B20"/>
  <c r="C20" s="1"/>
  <c r="B6" i="2"/>
  <c r="C6" s="1"/>
  <c r="B7"/>
  <c r="C7" s="1"/>
  <c r="B8"/>
  <c r="C8" s="1"/>
  <c r="B18"/>
  <c r="B17" s="1"/>
  <c r="C17" s="1"/>
  <c r="B18" i="1"/>
  <c r="B21" s="1"/>
  <c r="B7"/>
  <c r="C7" s="1"/>
  <c r="B8"/>
  <c r="C8" s="1"/>
  <c r="B6"/>
  <c r="C6" s="1"/>
  <c r="C5"/>
  <c r="C18"/>
  <c r="B10" i="3" l="1"/>
  <c r="C10" s="1"/>
  <c r="B13"/>
  <c r="C13" s="1"/>
  <c r="B17"/>
  <c r="C17" s="1"/>
  <c r="B12"/>
  <c r="C12" s="1"/>
  <c r="B16"/>
  <c r="C16" s="1"/>
  <c r="B14"/>
  <c r="C14" s="1"/>
  <c r="B19" i="2"/>
  <c r="C19" s="1"/>
  <c r="B21"/>
  <c r="C21" s="1"/>
  <c r="B15"/>
  <c r="C15" s="1"/>
  <c r="B13"/>
  <c r="C13" s="1"/>
  <c r="B11"/>
  <c r="C11" s="1"/>
  <c r="B9"/>
  <c r="C9" s="1"/>
  <c r="B12"/>
  <c r="C12" s="1"/>
  <c r="B20"/>
  <c r="C20" s="1"/>
  <c r="C18"/>
  <c r="B16"/>
  <c r="C16" s="1"/>
  <c r="B14"/>
  <c r="C14" s="1"/>
  <c r="B10"/>
  <c r="C10" s="1"/>
  <c r="B20" i="1"/>
  <c r="C20" s="1"/>
  <c r="B19"/>
  <c r="C19" s="1"/>
  <c r="B17"/>
  <c r="C17" s="1"/>
  <c r="B9"/>
  <c r="B13"/>
  <c r="C13" s="1"/>
  <c r="B12"/>
  <c r="B16"/>
  <c r="C16" s="1"/>
  <c r="B11"/>
  <c r="C11" s="1"/>
  <c r="B15"/>
  <c r="C15" s="1"/>
  <c r="B10"/>
  <c r="C10" s="1"/>
  <c r="B14"/>
  <c r="C14" s="1"/>
  <c r="C21"/>
  <c r="C9"/>
  <c r="C12"/>
</calcChain>
</file>

<file path=xl/sharedStrings.xml><?xml version="1.0" encoding="utf-8"?>
<sst xmlns="http://schemas.openxmlformats.org/spreadsheetml/2006/main" count="72" uniqueCount="26">
  <si>
    <t>Secondary Model</t>
  </si>
  <si>
    <t>p</t>
  </si>
  <si>
    <t>q</t>
  </si>
  <si>
    <t>m</t>
  </si>
  <si>
    <r>
      <t>T</t>
    </r>
    <r>
      <rPr>
        <sz val="11"/>
        <color theme="1"/>
        <rFont val="Symbol"/>
        <family val="1"/>
        <charset val="2"/>
      </rPr>
      <t>l</t>
    </r>
    <r>
      <rPr>
        <sz val="11"/>
        <color theme="1"/>
        <rFont val="Calibri"/>
        <family val="2"/>
        <scheme val="minor"/>
      </rPr>
      <t>min</t>
    </r>
  </si>
  <si>
    <r>
      <rPr>
        <i/>
        <sz val="11"/>
        <color theme="1"/>
        <rFont val="Calibri"/>
        <family val="2"/>
        <scheme val="minor"/>
      </rPr>
      <t xml:space="preserve">Salmonella </t>
    </r>
    <r>
      <rPr>
        <sz val="11"/>
        <color theme="1"/>
        <rFont val="Calibri"/>
        <family val="2"/>
        <scheme val="minor"/>
      </rPr>
      <t>Enteritidis</t>
    </r>
  </si>
  <si>
    <t>Tmin</t>
  </si>
  <si>
    <t>Tmax</t>
  </si>
  <si>
    <t>Topt</t>
  </si>
  <si>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Calibri"/>
        <family val="2"/>
        <scheme val="minor"/>
      </rPr>
      <t>opt</t>
    </r>
  </si>
  <si>
    <t>a</t>
  </si>
  <si>
    <t>Tsub min</t>
  </si>
  <si>
    <t>Tsup max</t>
  </si>
  <si>
    <t>Primary Model</t>
  </si>
  <si>
    <t>Time (h)</t>
  </si>
  <si>
    <t>log/cm2</t>
  </si>
  <si>
    <t>tmax</t>
  </si>
  <si>
    <t>tlag</t>
  </si>
  <si>
    <t>Temperature (12 to 46C)</t>
  </si>
  <si>
    <t>Temperature (10 to 48C)</t>
  </si>
  <si>
    <t>Temperature (10 to 44C)</t>
  </si>
  <si>
    <r>
      <t xml:space="preserve">Salmonella </t>
    </r>
    <r>
      <rPr>
        <sz val="11"/>
        <color theme="1"/>
        <rFont val="Calibri"/>
        <family val="2"/>
        <scheme val="minor"/>
      </rPr>
      <t>Dublin</t>
    </r>
  </si>
  <si>
    <r>
      <t xml:space="preserve">Salmonella </t>
    </r>
    <r>
      <rPr>
        <sz val="11"/>
        <color theme="1"/>
        <rFont val="Calibri"/>
        <family val="2"/>
        <scheme val="minor"/>
      </rPr>
      <t>Typhimurium</t>
    </r>
  </si>
  <si>
    <t>Lag Time (h)</t>
  </si>
  <si>
    <t>Growth Rate (log/h)</t>
  </si>
  <si>
    <r>
      <t>Max. Pop. Density (log/cm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</si>
</sst>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Symbol"/>
      <family val="1"/>
      <charset val="2"/>
    </font>
    <font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200" i="1"/>
              <a:t>Salmonella</a:t>
            </a:r>
            <a:r>
              <a:rPr lang="en-US" sz="1200"/>
              <a:t> Enteritidis</a:t>
            </a:r>
          </a:p>
          <a:p>
            <a:pPr>
              <a:defRPr/>
            </a:pPr>
            <a:r>
              <a:rPr lang="en-US" sz="1200"/>
              <a:t>Sterile, Cooked Ground Chicken Breast Meat Burgers</a:t>
            </a:r>
          </a:p>
          <a:p>
            <a:pPr>
              <a:defRPr/>
            </a:pPr>
            <a:r>
              <a:rPr lang="en-US" sz="1200"/>
              <a:t>(log/cm</a:t>
            </a:r>
            <a:r>
              <a:rPr lang="en-US" sz="1200" baseline="30000"/>
              <a:t>2</a:t>
            </a:r>
            <a:r>
              <a:rPr lang="en-US" sz="1200"/>
              <a:t>)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M23SE!$C$4</c:f>
              <c:strCache>
                <c:ptCount val="1"/>
                <c:pt idx="0">
                  <c:v>log/cm2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M23SE!$B$5:$B$21</c:f>
              <c:numCache>
                <c:formatCode>0.00</c:formatCode>
                <c:ptCount val="17"/>
                <c:pt idx="0">
                  <c:v>0</c:v>
                </c:pt>
                <c:pt idx="1">
                  <c:v>1.1858928541567384</c:v>
                </c:pt>
                <c:pt idx="2">
                  <c:v>3.5576785624702154</c:v>
                </c:pt>
                <c:pt idx="3">
                  <c:v>4.7435714166269536</c:v>
                </c:pt>
                <c:pt idx="4">
                  <c:v>5.2294138237897778</c:v>
                </c:pt>
                <c:pt idx="5">
                  <c:v>5.7152562309526029</c:v>
                </c:pt>
                <c:pt idx="6">
                  <c:v>6.2010986381154272</c:v>
                </c:pt>
                <c:pt idx="7">
                  <c:v>6.6869410452782514</c:v>
                </c:pt>
                <c:pt idx="8">
                  <c:v>7.1727834524410756</c:v>
                </c:pt>
                <c:pt idx="9">
                  <c:v>7.6586258596038999</c:v>
                </c:pt>
                <c:pt idx="10">
                  <c:v>8.1444682667667259</c:v>
                </c:pt>
                <c:pt idx="11">
                  <c:v>8.6303106739295501</c:v>
                </c:pt>
                <c:pt idx="12">
                  <c:v>9.5534112475389161</c:v>
                </c:pt>
                <c:pt idx="13">
                  <c:v>9.6019954882551986</c:v>
                </c:pt>
                <c:pt idx="14">
                  <c:v>11.522394585906238</c:v>
                </c:pt>
                <c:pt idx="15">
                  <c:v>13.442793683557277</c:v>
                </c:pt>
                <c:pt idx="16">
                  <c:v>15.363192781208319</c:v>
                </c:pt>
              </c:numCache>
            </c:numRef>
          </c:xVal>
          <c:yVal>
            <c:numRef>
              <c:f>M23SE!$C$5:$C$21</c:f>
              <c:numCache>
                <c:formatCode>0.00</c:formatCode>
                <c:ptCount val="17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6.2199339953502939</c:v>
                </c:pt>
                <c:pt idx="5">
                  <c:v>6.4398679907005878</c:v>
                </c:pt>
                <c:pt idx="6">
                  <c:v>6.6598019860508817</c:v>
                </c:pt>
                <c:pt idx="7">
                  <c:v>6.8797359814011756</c:v>
                </c:pt>
                <c:pt idx="8">
                  <c:v>7.0996699767514695</c:v>
                </c:pt>
                <c:pt idx="9">
                  <c:v>7.3196039721017634</c:v>
                </c:pt>
                <c:pt idx="10">
                  <c:v>7.5395379674520582</c:v>
                </c:pt>
                <c:pt idx="11">
                  <c:v>7.7594719628023521</c:v>
                </c:pt>
                <c:pt idx="12">
                  <c:v>8.1773465539679098</c:v>
                </c:pt>
                <c:pt idx="13">
                  <c:v>8.199339953502939</c:v>
                </c:pt>
                <c:pt idx="14">
                  <c:v>8.199339953502939</c:v>
                </c:pt>
                <c:pt idx="15">
                  <c:v>8.199339953502939</c:v>
                </c:pt>
                <c:pt idx="16">
                  <c:v>8.199339953502939</c:v>
                </c:pt>
              </c:numCache>
            </c:numRef>
          </c:yVal>
        </c:ser>
        <c:axId val="53082368"/>
        <c:axId val="69541888"/>
      </c:scatterChart>
      <c:valAx>
        <c:axId val="53082368"/>
        <c:scaling>
          <c:orientation val="minMax"/>
        </c:scaling>
        <c:axPos val="b"/>
        <c:numFmt formatCode="0.00" sourceLinked="1"/>
        <c:tickLblPos val="nextTo"/>
        <c:crossAx val="69541888"/>
        <c:crosses val="autoZero"/>
        <c:crossBetween val="midCat"/>
      </c:valAx>
      <c:valAx>
        <c:axId val="69541888"/>
        <c:scaling>
          <c:orientation val="minMax"/>
          <c:min val="6"/>
        </c:scaling>
        <c:axPos val="l"/>
        <c:majorGridlines/>
        <c:numFmt formatCode="0.00" sourceLinked="1"/>
        <c:tickLblPos val="nextTo"/>
        <c:crossAx val="53082368"/>
        <c:crosses val="autoZero"/>
        <c:crossBetween val="midCat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200" i="1"/>
              <a:t>Salmonella</a:t>
            </a:r>
            <a:r>
              <a:rPr lang="en-US" sz="1200"/>
              <a:t> Typhimurium</a:t>
            </a:r>
          </a:p>
          <a:p>
            <a:pPr>
              <a:defRPr/>
            </a:pPr>
            <a:r>
              <a:rPr lang="en-US" sz="1200"/>
              <a:t>Sterile, Cooked Ground Chicken Thigh Meat Burgers</a:t>
            </a:r>
          </a:p>
          <a:p>
            <a:pPr>
              <a:defRPr/>
            </a:pPr>
            <a:r>
              <a:rPr lang="en-US" sz="1200"/>
              <a:t>(log/cm</a:t>
            </a:r>
            <a:r>
              <a:rPr lang="en-US" sz="1200" baseline="30000"/>
              <a:t>2</a:t>
            </a:r>
            <a:r>
              <a:rPr lang="en-US" sz="1200"/>
              <a:t>)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M23ST!$C$4</c:f>
              <c:strCache>
                <c:ptCount val="1"/>
                <c:pt idx="0">
                  <c:v>log/cm2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M23ST!$B$5:$B$21</c:f>
              <c:numCache>
                <c:formatCode>0.00</c:formatCode>
                <c:ptCount val="17"/>
                <c:pt idx="0">
                  <c:v>0</c:v>
                </c:pt>
                <c:pt idx="1">
                  <c:v>0.51932118203473832</c:v>
                </c:pt>
                <c:pt idx="2">
                  <c:v>1.5579635461042149</c:v>
                </c:pt>
                <c:pt idx="3">
                  <c:v>2.0772847281389533</c:v>
                </c:pt>
                <c:pt idx="4">
                  <c:v>2.418931172597373</c:v>
                </c:pt>
                <c:pt idx="5">
                  <c:v>2.7605776170557923</c:v>
                </c:pt>
                <c:pt idx="6">
                  <c:v>3.102224061514212</c:v>
                </c:pt>
                <c:pt idx="7">
                  <c:v>3.4438705059726313</c:v>
                </c:pt>
                <c:pt idx="8">
                  <c:v>3.7855169504310511</c:v>
                </c:pt>
                <c:pt idx="9">
                  <c:v>4.1271633948894699</c:v>
                </c:pt>
                <c:pt idx="10">
                  <c:v>4.4688098393478901</c:v>
                </c:pt>
                <c:pt idx="11">
                  <c:v>4.8104562838063103</c:v>
                </c:pt>
                <c:pt idx="12">
                  <c:v>5.4595845282773068</c:v>
                </c:pt>
                <c:pt idx="13">
                  <c:v>5.4937491727231489</c:v>
                </c:pt>
                <c:pt idx="14">
                  <c:v>6.5924990072677785</c:v>
                </c:pt>
                <c:pt idx="15">
                  <c:v>7.6912488418124081</c:v>
                </c:pt>
                <c:pt idx="16">
                  <c:v>8.7899986763570386</c:v>
                </c:pt>
              </c:numCache>
            </c:numRef>
          </c:xVal>
          <c:yVal>
            <c:numRef>
              <c:f>M23ST!$C$5:$C$21</c:f>
              <c:numCache>
                <c:formatCode>0.00</c:formatCode>
                <c:ptCount val="17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6.2221831200498841</c:v>
                </c:pt>
                <c:pt idx="5">
                  <c:v>6.4443662400997681</c:v>
                </c:pt>
                <c:pt idx="6">
                  <c:v>6.6665493601496522</c:v>
                </c:pt>
                <c:pt idx="7">
                  <c:v>6.8887324801995353</c:v>
                </c:pt>
                <c:pt idx="8">
                  <c:v>7.1109156002494194</c:v>
                </c:pt>
                <c:pt idx="9">
                  <c:v>7.3330987202993025</c:v>
                </c:pt>
                <c:pt idx="10">
                  <c:v>7.5552818403491866</c:v>
                </c:pt>
                <c:pt idx="11">
                  <c:v>7.7774649603990715</c:v>
                </c:pt>
                <c:pt idx="12">
                  <c:v>8.1996128884938493</c:v>
                </c:pt>
                <c:pt idx="13">
                  <c:v>8.2218312004988388</c:v>
                </c:pt>
                <c:pt idx="14">
                  <c:v>8.2218312004988388</c:v>
                </c:pt>
                <c:pt idx="15">
                  <c:v>8.2218312004988388</c:v>
                </c:pt>
                <c:pt idx="16">
                  <c:v>8.2218312004988388</c:v>
                </c:pt>
              </c:numCache>
            </c:numRef>
          </c:yVal>
        </c:ser>
        <c:axId val="70004736"/>
        <c:axId val="70006272"/>
      </c:scatterChart>
      <c:valAx>
        <c:axId val="70004736"/>
        <c:scaling>
          <c:orientation val="minMax"/>
        </c:scaling>
        <c:axPos val="b"/>
        <c:numFmt formatCode="0.00" sourceLinked="1"/>
        <c:tickLblPos val="nextTo"/>
        <c:crossAx val="70006272"/>
        <c:crosses val="autoZero"/>
        <c:crossBetween val="midCat"/>
      </c:valAx>
      <c:valAx>
        <c:axId val="70006272"/>
        <c:scaling>
          <c:orientation val="minMax"/>
          <c:min val="6"/>
        </c:scaling>
        <c:axPos val="l"/>
        <c:majorGridlines/>
        <c:numFmt formatCode="0.00" sourceLinked="1"/>
        <c:tickLblPos val="nextTo"/>
        <c:crossAx val="70004736"/>
        <c:crosses val="autoZero"/>
        <c:crossBetween val="midCat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200" i="1"/>
              <a:t>Salmonella</a:t>
            </a:r>
            <a:r>
              <a:rPr lang="en-US" sz="1200"/>
              <a:t> Dublin</a:t>
            </a:r>
          </a:p>
          <a:p>
            <a:pPr>
              <a:defRPr/>
            </a:pPr>
            <a:r>
              <a:rPr lang="en-US" sz="1200"/>
              <a:t>Sterile, Cooked Ground Chicken Thigh Meat Burgers</a:t>
            </a:r>
          </a:p>
          <a:p>
            <a:pPr>
              <a:defRPr/>
            </a:pPr>
            <a:r>
              <a:rPr lang="en-US" sz="1200"/>
              <a:t>(log/cm</a:t>
            </a:r>
            <a:r>
              <a:rPr lang="en-US" sz="1200" baseline="30000"/>
              <a:t>2</a:t>
            </a:r>
            <a:r>
              <a:rPr lang="en-US" sz="1200"/>
              <a:t>)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M23SD!$C$4</c:f>
              <c:strCache>
                <c:ptCount val="1"/>
                <c:pt idx="0">
                  <c:v>log/cm2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M23SD!$B$5:$B$21</c:f>
              <c:numCache>
                <c:formatCode>0.00</c:formatCode>
                <c:ptCount val="17"/>
                <c:pt idx="0">
                  <c:v>0</c:v>
                </c:pt>
                <c:pt idx="1">
                  <c:v>1.027981500546596</c:v>
                </c:pt>
                <c:pt idx="2">
                  <c:v>3.0839445016397882</c:v>
                </c:pt>
                <c:pt idx="3">
                  <c:v>4.1119260021863839</c:v>
                </c:pt>
                <c:pt idx="4">
                  <c:v>4.6442761310677412</c:v>
                </c:pt>
                <c:pt idx="5">
                  <c:v>5.1766262599490993</c:v>
                </c:pt>
                <c:pt idx="6">
                  <c:v>5.7089763888304574</c:v>
                </c:pt>
                <c:pt idx="7">
                  <c:v>6.2413265177118147</c:v>
                </c:pt>
                <c:pt idx="8">
                  <c:v>6.7736766465931719</c:v>
                </c:pt>
                <c:pt idx="9">
                  <c:v>7.3060267754745301</c:v>
                </c:pt>
                <c:pt idx="10">
                  <c:v>7.8383769043558873</c:v>
                </c:pt>
                <c:pt idx="11">
                  <c:v>8.3707270332372445</c:v>
                </c:pt>
                <c:pt idx="12">
                  <c:v>9.382192278111825</c:v>
                </c:pt>
                <c:pt idx="13">
                  <c:v>9.4354272909999608</c:v>
                </c:pt>
                <c:pt idx="14">
                  <c:v>11.322512749199953</c:v>
                </c:pt>
                <c:pt idx="15">
                  <c:v>13.209598207399944</c:v>
                </c:pt>
                <c:pt idx="16">
                  <c:v>15.096683665599938</c:v>
                </c:pt>
              </c:numCache>
            </c:numRef>
          </c:xVal>
          <c:yVal>
            <c:numRef>
              <c:f>M23SD!$C$5:$C$21</c:f>
              <c:numCache>
                <c:formatCode>0.00</c:formatCode>
                <c:ptCount val="17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6.2822756688685653</c:v>
                </c:pt>
                <c:pt idx="5">
                  <c:v>6.5645513377371314</c:v>
                </c:pt>
                <c:pt idx="6">
                  <c:v>6.8468270066056975</c:v>
                </c:pt>
                <c:pt idx="7">
                  <c:v>7.1291026754742628</c:v>
                </c:pt>
                <c:pt idx="8">
                  <c:v>7.4113783443428289</c:v>
                </c:pt>
                <c:pt idx="9">
                  <c:v>7.6936540132113942</c:v>
                </c:pt>
                <c:pt idx="10">
                  <c:v>7.9759296820799594</c:v>
                </c:pt>
                <c:pt idx="11">
                  <c:v>8.2582053509485256</c:v>
                </c:pt>
                <c:pt idx="12">
                  <c:v>8.7945291217988011</c:v>
                </c:pt>
                <c:pt idx="13">
                  <c:v>8.8227566886856579</c:v>
                </c:pt>
                <c:pt idx="14">
                  <c:v>8.8227566886856579</c:v>
                </c:pt>
                <c:pt idx="15">
                  <c:v>8.8227566886856579</c:v>
                </c:pt>
                <c:pt idx="16">
                  <c:v>8.8227566886856579</c:v>
                </c:pt>
              </c:numCache>
            </c:numRef>
          </c:yVal>
        </c:ser>
        <c:axId val="70063232"/>
        <c:axId val="70064768"/>
      </c:scatterChart>
      <c:valAx>
        <c:axId val="70063232"/>
        <c:scaling>
          <c:orientation val="minMax"/>
        </c:scaling>
        <c:axPos val="b"/>
        <c:numFmt formatCode="0.00" sourceLinked="1"/>
        <c:tickLblPos val="nextTo"/>
        <c:crossAx val="70064768"/>
        <c:crosses val="autoZero"/>
        <c:crossBetween val="midCat"/>
      </c:valAx>
      <c:valAx>
        <c:axId val="70064768"/>
        <c:scaling>
          <c:orientation val="minMax"/>
          <c:min val="6"/>
        </c:scaling>
        <c:axPos val="l"/>
        <c:majorGridlines/>
        <c:numFmt formatCode="0.00" sourceLinked="1"/>
        <c:tickLblPos val="nextTo"/>
        <c:crossAx val="70063232"/>
        <c:crosses val="autoZero"/>
        <c:crossBetween val="midCat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4</xdr:row>
      <xdr:rowOff>57150</xdr:rowOff>
    </xdr:from>
    <xdr:to>
      <xdr:col>11</xdr:col>
      <xdr:colOff>19050</xdr:colOff>
      <xdr:row>20</xdr:row>
      <xdr:rowOff>133350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4</xdr:row>
      <xdr:rowOff>57150</xdr:rowOff>
    </xdr:from>
    <xdr:to>
      <xdr:col>11</xdr:col>
      <xdr:colOff>19050</xdr:colOff>
      <xdr:row>20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4</xdr:row>
      <xdr:rowOff>57150</xdr:rowOff>
    </xdr:from>
    <xdr:to>
      <xdr:col>11</xdr:col>
      <xdr:colOff>19050</xdr:colOff>
      <xdr:row>20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>
      <selection activeCell="B3" sqref="B3"/>
    </sheetView>
  </sheetViews>
  <sheetFormatPr defaultRowHeight="15"/>
  <cols>
    <col min="1" max="1" width="27" style="1" customWidth="1"/>
    <col min="2" max="2" width="9.5703125" style="1" bestFit="1" customWidth="1"/>
    <col min="3" max="5" width="9.140625" style="1"/>
  </cols>
  <sheetData>
    <row r="1" spans="1:3">
      <c r="A1" s="1" t="s">
        <v>5</v>
      </c>
    </row>
    <row r="2" spans="1:3">
      <c r="A2" s="1" t="s">
        <v>18</v>
      </c>
      <c r="B2" s="5">
        <v>22</v>
      </c>
    </row>
    <row r="4" spans="1:3">
      <c r="B4" s="1" t="s">
        <v>14</v>
      </c>
      <c r="C4" s="1" t="s">
        <v>15</v>
      </c>
    </row>
    <row r="5" spans="1:3">
      <c r="A5" s="1" t="s">
        <v>13</v>
      </c>
      <c r="B5" s="6">
        <v>0</v>
      </c>
      <c r="C5" s="6">
        <f t="shared" ref="C5:C21" si="0">IF(B5&lt;=$A$25,6,IF(((6+($A$27*(B5-$A$25))))&gt;=$A$29,$A$29,6+($A$27*(B5-$A$25))))</f>
        <v>6</v>
      </c>
    </row>
    <row r="6" spans="1:3">
      <c r="B6" s="6">
        <f>$A$25*(1/4)</f>
        <v>1.1858928541567384</v>
      </c>
      <c r="C6" s="6">
        <f t="shared" si="0"/>
        <v>6</v>
      </c>
    </row>
    <row r="7" spans="1:3">
      <c r="B7" s="6">
        <f>$A$25*(3/4)</f>
        <v>3.5576785624702154</v>
      </c>
      <c r="C7" s="6">
        <f t="shared" si="0"/>
        <v>6</v>
      </c>
    </row>
    <row r="8" spans="1:3">
      <c r="A8" s="4" t="s">
        <v>17</v>
      </c>
      <c r="B8" s="6">
        <f>$A$25*(4/4)</f>
        <v>4.7435714166269536</v>
      </c>
      <c r="C8" s="6">
        <f t="shared" si="0"/>
        <v>6</v>
      </c>
    </row>
    <row r="9" spans="1:3">
      <c r="B9" s="6">
        <f>$A$25+($B$18-$A$25)*(1/10)</f>
        <v>5.2294138237897778</v>
      </c>
      <c r="C9" s="6">
        <f t="shared" si="0"/>
        <v>6.2199339953502939</v>
      </c>
    </row>
    <row r="10" spans="1:3">
      <c r="B10" s="6">
        <f>$A$25+($B$18-$A$25)*(2/10)</f>
        <v>5.7152562309526029</v>
      </c>
      <c r="C10" s="6">
        <f t="shared" si="0"/>
        <v>6.4398679907005878</v>
      </c>
    </row>
    <row r="11" spans="1:3">
      <c r="B11" s="6">
        <f>$A$25+($B$18-$A$25)*(3/10)</f>
        <v>6.2010986381154272</v>
      </c>
      <c r="C11" s="6">
        <f t="shared" si="0"/>
        <v>6.6598019860508817</v>
      </c>
    </row>
    <row r="12" spans="1:3">
      <c r="B12" s="6">
        <f>$A$25+($B$18-$A$25)*(4/10)</f>
        <v>6.6869410452782514</v>
      </c>
      <c r="C12" s="6">
        <f t="shared" si="0"/>
        <v>6.8797359814011756</v>
      </c>
    </row>
    <row r="13" spans="1:3">
      <c r="B13" s="6">
        <f>$A$25+($B$18-$A$25)*(5/10)</f>
        <v>7.1727834524410756</v>
      </c>
      <c r="C13" s="6">
        <f t="shared" si="0"/>
        <v>7.0996699767514695</v>
      </c>
    </row>
    <row r="14" spans="1:3">
      <c r="B14" s="6">
        <f>$A$25+($B$18-$A$25)*(6/10)</f>
        <v>7.6586258596038999</v>
      </c>
      <c r="C14" s="6">
        <f t="shared" si="0"/>
        <v>7.3196039721017634</v>
      </c>
    </row>
    <row r="15" spans="1:3">
      <c r="B15" s="6">
        <f>$A$25+($B$18-$A$25)*(7/10)</f>
        <v>8.1444682667667259</v>
      </c>
      <c r="C15" s="6">
        <f t="shared" si="0"/>
        <v>7.5395379674520582</v>
      </c>
    </row>
    <row r="16" spans="1:3">
      <c r="B16" s="6">
        <f>$A$25+($B$18-$A$25)*(8/10)</f>
        <v>8.6303106739295501</v>
      </c>
      <c r="C16" s="6">
        <f t="shared" si="0"/>
        <v>7.7594719628023521</v>
      </c>
    </row>
    <row r="17" spans="1:6">
      <c r="B17" s="6">
        <f>$A$25+($B$18-$A$25)*(9.9/10)</f>
        <v>9.5534112475389161</v>
      </c>
      <c r="C17" s="6">
        <f t="shared" si="0"/>
        <v>8.1773465539679098</v>
      </c>
    </row>
    <row r="18" spans="1:6">
      <c r="A18" s="4" t="s">
        <v>16</v>
      </c>
      <c r="B18" s="6">
        <f>(($A$29-6)/$A$27)+$A$25</f>
        <v>9.6019954882551986</v>
      </c>
      <c r="C18" s="6">
        <f t="shared" si="0"/>
        <v>8.199339953502939</v>
      </c>
    </row>
    <row r="19" spans="1:6">
      <c r="B19" s="6">
        <f>$B$18*1.2</f>
        <v>11.522394585906238</v>
      </c>
      <c r="C19" s="6">
        <f t="shared" si="0"/>
        <v>8.199339953502939</v>
      </c>
    </row>
    <row r="20" spans="1:6">
      <c r="B20" s="6">
        <f>$B$18*1.4</f>
        <v>13.442793683557277</v>
      </c>
      <c r="C20" s="6">
        <f t="shared" si="0"/>
        <v>8.199339953502939</v>
      </c>
    </row>
    <row r="21" spans="1:6">
      <c r="B21" s="6">
        <f>$B$18*1.6</f>
        <v>15.363192781208319</v>
      </c>
      <c r="C21" s="6">
        <f t="shared" si="0"/>
        <v>8.199339953502939</v>
      </c>
    </row>
    <row r="23" spans="1:6">
      <c r="A23" s="1" t="s">
        <v>0</v>
      </c>
    </row>
    <row r="24" spans="1:6">
      <c r="A24" s="1" t="s">
        <v>23</v>
      </c>
      <c r="B24" s="3" t="s">
        <v>1</v>
      </c>
      <c r="C24" s="3" t="s">
        <v>2</v>
      </c>
      <c r="D24" s="3" t="s">
        <v>3</v>
      </c>
      <c r="E24" s="1" t="s">
        <v>4</v>
      </c>
    </row>
    <row r="25" spans="1:6">
      <c r="A25" s="6">
        <f>IF(B2&lt;E25,(B25/(B2-C25))^D25,2.01)</f>
        <v>4.7435714166269536</v>
      </c>
      <c r="B25" s="8">
        <v>44.29</v>
      </c>
      <c r="C25" s="8">
        <v>9.3800000000000008</v>
      </c>
      <c r="D25" s="8">
        <v>1.24</v>
      </c>
      <c r="E25" s="8">
        <v>34.619999999999997</v>
      </c>
    </row>
    <row r="26" spans="1:6">
      <c r="A26" s="1" t="s">
        <v>24</v>
      </c>
      <c r="B26" s="1" t="s">
        <v>6</v>
      </c>
      <c r="C26" s="1" t="s">
        <v>7</v>
      </c>
      <c r="D26" s="1" t="s">
        <v>8</v>
      </c>
      <c r="E26" s="1" t="s">
        <v>9</v>
      </c>
    </row>
    <row r="27" spans="1:6">
      <c r="A27" s="7">
        <f>IF(B2&lt;=B27,0,IF(B2&gt;=C27,0,E27*((((B2-C27)*(B2-B27)))/((B2-B27)*(B2-C27)-(B2-D27)^2))))</f>
        <v>0.45268587531220922</v>
      </c>
      <c r="B27" s="1">
        <v>6.89</v>
      </c>
      <c r="C27" s="1">
        <v>48.3</v>
      </c>
      <c r="D27" s="1">
        <v>38.69</v>
      </c>
      <c r="E27" s="1">
        <v>0.77</v>
      </c>
    </row>
    <row r="28" spans="1:6" ht="17.25">
      <c r="A28" s="1" t="s">
        <v>25</v>
      </c>
      <c r="B28" s="2" t="s">
        <v>10</v>
      </c>
      <c r="C28" s="1" t="s">
        <v>6</v>
      </c>
      <c r="D28" s="1" t="s">
        <v>7</v>
      </c>
      <c r="E28" s="1" t="s">
        <v>11</v>
      </c>
      <c r="F28" s="1" t="s">
        <v>12</v>
      </c>
    </row>
    <row r="29" spans="1:6">
      <c r="A29" s="7">
        <f>B29*(((B2-C29)*(B2-D29)))/((B2-E29)*(B2-F29))</f>
        <v>8.199339953502939</v>
      </c>
      <c r="B29" s="1">
        <v>8.2899999999999991</v>
      </c>
      <c r="C29" s="1">
        <v>8.24</v>
      </c>
      <c r="D29" s="1">
        <v>48.07</v>
      </c>
      <c r="E29" s="1">
        <v>8.2200000000000006</v>
      </c>
      <c r="F29" s="1">
        <v>48.32</v>
      </c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workbookViewId="0">
      <selection activeCell="A29" sqref="A29"/>
    </sheetView>
  </sheetViews>
  <sheetFormatPr defaultRowHeight="15"/>
  <cols>
    <col min="1" max="1" width="24.7109375" style="1" customWidth="1"/>
    <col min="2" max="2" width="9.5703125" style="1" bestFit="1" customWidth="1"/>
    <col min="3" max="5" width="9.140625" style="1"/>
  </cols>
  <sheetData>
    <row r="1" spans="1:3">
      <c r="A1" s="3" t="s">
        <v>22</v>
      </c>
    </row>
    <row r="2" spans="1:3">
      <c r="A2" s="1" t="s">
        <v>19</v>
      </c>
      <c r="B2" s="5">
        <v>26.4</v>
      </c>
    </row>
    <row r="4" spans="1:3">
      <c r="B4" s="1" t="s">
        <v>14</v>
      </c>
      <c r="C4" s="1" t="s">
        <v>15</v>
      </c>
    </row>
    <row r="5" spans="1:3">
      <c r="A5" s="1" t="s">
        <v>13</v>
      </c>
      <c r="B5" s="6">
        <v>0</v>
      </c>
      <c r="C5" s="6">
        <f t="shared" ref="C5:C21" si="0">IF(B5&lt;=$A$25,6,IF(((6+($A$27*(B5-$A$25))))&gt;=$A$29,$A$29,6+($A$27*(B5-$A$25))))</f>
        <v>6</v>
      </c>
    </row>
    <row r="6" spans="1:3">
      <c r="B6" s="6">
        <f>$A$25*(1/4)</f>
        <v>0.51932118203473832</v>
      </c>
      <c r="C6" s="6">
        <f t="shared" si="0"/>
        <v>6</v>
      </c>
    </row>
    <row r="7" spans="1:3">
      <c r="B7" s="6">
        <f>$A$25*(3/4)</f>
        <v>1.5579635461042149</v>
      </c>
      <c r="C7" s="6">
        <f t="shared" si="0"/>
        <v>6</v>
      </c>
    </row>
    <row r="8" spans="1:3">
      <c r="A8" s="4" t="s">
        <v>17</v>
      </c>
      <c r="B8" s="6">
        <f>$A$25*(4/4)</f>
        <v>2.0772847281389533</v>
      </c>
      <c r="C8" s="6">
        <f t="shared" si="0"/>
        <v>6</v>
      </c>
    </row>
    <row r="9" spans="1:3">
      <c r="B9" s="6">
        <f>$A$25+($B$18-$A$25)*(1/10)</f>
        <v>2.418931172597373</v>
      </c>
      <c r="C9" s="6">
        <f t="shared" si="0"/>
        <v>6.2221831200498841</v>
      </c>
    </row>
    <row r="10" spans="1:3">
      <c r="B10" s="6">
        <f>$A$25+($B$18-$A$25)*(2/10)</f>
        <v>2.7605776170557923</v>
      </c>
      <c r="C10" s="6">
        <f t="shared" si="0"/>
        <v>6.4443662400997681</v>
      </c>
    </row>
    <row r="11" spans="1:3">
      <c r="B11" s="6">
        <f>$A$25+($B$18-$A$25)*(3/10)</f>
        <v>3.102224061514212</v>
      </c>
      <c r="C11" s="6">
        <f t="shared" si="0"/>
        <v>6.6665493601496522</v>
      </c>
    </row>
    <row r="12" spans="1:3">
      <c r="B12" s="6">
        <f>$A$25+($B$18-$A$25)*(4/10)</f>
        <v>3.4438705059726313</v>
      </c>
      <c r="C12" s="6">
        <f t="shared" si="0"/>
        <v>6.8887324801995353</v>
      </c>
    </row>
    <row r="13" spans="1:3">
      <c r="B13" s="6">
        <f>$A$25+($B$18-$A$25)*(5/10)</f>
        <v>3.7855169504310511</v>
      </c>
      <c r="C13" s="6">
        <f t="shared" si="0"/>
        <v>7.1109156002494194</v>
      </c>
    </row>
    <row r="14" spans="1:3">
      <c r="B14" s="6">
        <f>$A$25+($B$18-$A$25)*(6/10)</f>
        <v>4.1271633948894699</v>
      </c>
      <c r="C14" s="6">
        <f t="shared" si="0"/>
        <v>7.3330987202993025</v>
      </c>
    </row>
    <row r="15" spans="1:3">
      <c r="B15" s="6">
        <f>$A$25+($B$18-$A$25)*(7/10)</f>
        <v>4.4688098393478901</v>
      </c>
      <c r="C15" s="6">
        <f t="shared" si="0"/>
        <v>7.5552818403491866</v>
      </c>
    </row>
    <row r="16" spans="1:3">
      <c r="B16" s="6">
        <f>$A$25+($B$18-$A$25)*(8/10)</f>
        <v>4.8104562838063103</v>
      </c>
      <c r="C16" s="6">
        <f t="shared" si="0"/>
        <v>7.7774649603990715</v>
      </c>
    </row>
    <row r="17" spans="1:6">
      <c r="B17" s="6">
        <f>$A$25+($B$18-$A$25)*(9.9/10)</f>
        <v>5.4595845282773068</v>
      </c>
      <c r="C17" s="6">
        <f t="shared" si="0"/>
        <v>8.1996128884938493</v>
      </c>
    </row>
    <row r="18" spans="1:6">
      <c r="A18" s="4" t="s">
        <v>16</v>
      </c>
      <c r="B18" s="6">
        <f>(($A$29-6)/$A$27)+$A$25</f>
        <v>5.4937491727231489</v>
      </c>
      <c r="C18" s="6">
        <f t="shared" si="0"/>
        <v>8.2218312004988388</v>
      </c>
    </row>
    <row r="19" spans="1:6">
      <c r="B19" s="6">
        <f>$B$18*1.2</f>
        <v>6.5924990072677785</v>
      </c>
      <c r="C19" s="6">
        <f t="shared" si="0"/>
        <v>8.2218312004988388</v>
      </c>
    </row>
    <row r="20" spans="1:6">
      <c r="B20" s="6">
        <f>$B$18*1.4</f>
        <v>7.6912488418124081</v>
      </c>
      <c r="C20" s="6">
        <f t="shared" si="0"/>
        <v>8.2218312004988388</v>
      </c>
    </row>
    <row r="21" spans="1:6">
      <c r="B21" s="6">
        <f>$B$18*1.6</f>
        <v>8.7899986763570386</v>
      </c>
      <c r="C21" s="6">
        <f t="shared" si="0"/>
        <v>8.2218312004988388</v>
      </c>
    </row>
    <row r="23" spans="1:6">
      <c r="A23" s="1" t="s">
        <v>0</v>
      </c>
    </row>
    <row r="24" spans="1:6">
      <c r="A24" s="1" t="s">
        <v>23</v>
      </c>
      <c r="B24" s="3" t="s">
        <v>1</v>
      </c>
      <c r="C24" s="3" t="s">
        <v>2</v>
      </c>
      <c r="D24" s="3" t="s">
        <v>3</v>
      </c>
      <c r="E24" s="1" t="s">
        <v>4</v>
      </c>
    </row>
    <row r="25" spans="1:6">
      <c r="A25" s="6">
        <f>IF(B2&lt;E25,(B25/(B2-C25))^D25,2.01)</f>
        <v>2.0772847281389533</v>
      </c>
      <c r="B25" s="1">
        <v>34.93</v>
      </c>
      <c r="C25" s="1">
        <v>-1.02</v>
      </c>
      <c r="D25" s="1">
        <v>3.02</v>
      </c>
      <c r="E25" s="1">
        <v>29.17</v>
      </c>
    </row>
    <row r="26" spans="1:6">
      <c r="A26" s="1" t="s">
        <v>24</v>
      </c>
      <c r="B26" s="1" t="s">
        <v>6</v>
      </c>
      <c r="C26" s="1" t="s">
        <v>7</v>
      </c>
      <c r="D26" s="1" t="s">
        <v>8</v>
      </c>
      <c r="E26" s="1" t="s">
        <v>9</v>
      </c>
    </row>
    <row r="27" spans="1:6">
      <c r="A27" s="7">
        <f>IF(B2&lt;=B27,0,IF(B2&gt;=C27,0,E27*((((B2-C27)*(B2-B27)))/((B2-B27)*(B2-C27)-(B2-D27)^2))))</f>
        <v>0.65033054976494831</v>
      </c>
      <c r="B27" s="1">
        <v>2.15</v>
      </c>
      <c r="C27" s="1">
        <v>49.24</v>
      </c>
      <c r="D27" s="1">
        <v>42.64</v>
      </c>
      <c r="E27" s="1">
        <v>0.96</v>
      </c>
    </row>
    <row r="28" spans="1:6" ht="17.25">
      <c r="A28" s="1" t="s">
        <v>25</v>
      </c>
      <c r="B28" s="2" t="s">
        <v>10</v>
      </c>
      <c r="C28" s="1" t="s">
        <v>6</v>
      </c>
      <c r="D28" s="1" t="s">
        <v>7</v>
      </c>
      <c r="E28" s="1" t="s">
        <v>11</v>
      </c>
      <c r="F28" s="1" t="s">
        <v>12</v>
      </c>
    </row>
    <row r="29" spans="1:6">
      <c r="A29" s="7">
        <f>B29*(((B2-C29)*(B2-D29)))/((B2-E29)*(B2-F29))</f>
        <v>8.2218312004988388</v>
      </c>
      <c r="B29" s="1">
        <v>8.44</v>
      </c>
      <c r="C29" s="1">
        <v>5.37</v>
      </c>
      <c r="D29" s="1">
        <v>48.82</v>
      </c>
      <c r="E29" s="1">
        <v>4.8600000000000003</v>
      </c>
      <c r="F29" s="1">
        <v>48.87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>
      <selection activeCell="F32" sqref="F32"/>
    </sheetView>
  </sheetViews>
  <sheetFormatPr defaultRowHeight="15"/>
  <cols>
    <col min="1" max="1" width="26.7109375" style="1" customWidth="1"/>
    <col min="2" max="2" width="9.5703125" style="1" bestFit="1" customWidth="1"/>
    <col min="3" max="5" width="9.140625" style="1"/>
  </cols>
  <sheetData>
    <row r="1" spans="1:3">
      <c r="A1" s="3" t="s">
        <v>21</v>
      </c>
    </row>
    <row r="2" spans="1:3">
      <c r="A2" s="1" t="s">
        <v>20</v>
      </c>
      <c r="B2" s="5">
        <v>22</v>
      </c>
    </row>
    <row r="4" spans="1:3">
      <c r="B4" s="1" t="s">
        <v>14</v>
      </c>
      <c r="C4" s="1" t="s">
        <v>15</v>
      </c>
    </row>
    <row r="5" spans="1:3">
      <c r="A5" s="1" t="s">
        <v>13</v>
      </c>
      <c r="B5" s="6">
        <v>0</v>
      </c>
      <c r="C5" s="6">
        <f t="shared" ref="C5:C21" si="0">IF(B5&lt;=$A$25,6,IF(((6+($A$27*(B5-$A$25))))&gt;=$A$29,$A$29,6+($A$27*(B5-$A$25))))</f>
        <v>6</v>
      </c>
    </row>
    <row r="6" spans="1:3">
      <c r="B6" s="6">
        <f>$A$25*(1/4)</f>
        <v>1.027981500546596</v>
      </c>
      <c r="C6" s="6">
        <f t="shared" si="0"/>
        <v>6</v>
      </c>
    </row>
    <row r="7" spans="1:3">
      <c r="B7" s="6">
        <f>$A$25*(3/4)</f>
        <v>3.0839445016397882</v>
      </c>
      <c r="C7" s="6">
        <f t="shared" si="0"/>
        <v>6</v>
      </c>
    </row>
    <row r="8" spans="1:3">
      <c r="A8" s="4" t="s">
        <v>17</v>
      </c>
      <c r="B8" s="6">
        <f>$A$25*(4/4)</f>
        <v>4.1119260021863839</v>
      </c>
      <c r="C8" s="6">
        <f t="shared" si="0"/>
        <v>6</v>
      </c>
    </row>
    <row r="9" spans="1:3">
      <c r="B9" s="6">
        <f>$A$25+($B$18-$A$25)*(1/10)</f>
        <v>4.6442761310677412</v>
      </c>
      <c r="C9" s="6">
        <f t="shared" si="0"/>
        <v>6.2822756688685653</v>
      </c>
    </row>
    <row r="10" spans="1:3">
      <c r="B10" s="6">
        <f>$A$25+($B$18-$A$25)*(2/10)</f>
        <v>5.1766262599490993</v>
      </c>
      <c r="C10" s="6">
        <f t="shared" si="0"/>
        <v>6.5645513377371314</v>
      </c>
    </row>
    <row r="11" spans="1:3">
      <c r="B11" s="6">
        <f>$A$25+($B$18-$A$25)*(3/10)</f>
        <v>5.7089763888304574</v>
      </c>
      <c r="C11" s="6">
        <f t="shared" si="0"/>
        <v>6.8468270066056975</v>
      </c>
    </row>
    <row r="12" spans="1:3">
      <c r="B12" s="6">
        <f>$A$25+($B$18-$A$25)*(4/10)</f>
        <v>6.2413265177118147</v>
      </c>
      <c r="C12" s="6">
        <f t="shared" si="0"/>
        <v>7.1291026754742628</v>
      </c>
    </row>
    <row r="13" spans="1:3">
      <c r="B13" s="6">
        <f>$A$25+($B$18-$A$25)*(5/10)</f>
        <v>6.7736766465931719</v>
      </c>
      <c r="C13" s="6">
        <f t="shared" si="0"/>
        <v>7.4113783443428289</v>
      </c>
    </row>
    <row r="14" spans="1:3">
      <c r="B14" s="6">
        <f>$A$25+($B$18-$A$25)*(6/10)</f>
        <v>7.3060267754745301</v>
      </c>
      <c r="C14" s="6">
        <f t="shared" si="0"/>
        <v>7.6936540132113942</v>
      </c>
    </row>
    <row r="15" spans="1:3">
      <c r="B15" s="6">
        <f>$A$25+($B$18-$A$25)*(7/10)</f>
        <v>7.8383769043558873</v>
      </c>
      <c r="C15" s="6">
        <f t="shared" si="0"/>
        <v>7.9759296820799594</v>
      </c>
    </row>
    <row r="16" spans="1:3">
      <c r="B16" s="6">
        <f>$A$25+($B$18-$A$25)*(8/10)</f>
        <v>8.3707270332372445</v>
      </c>
      <c r="C16" s="6">
        <f t="shared" si="0"/>
        <v>8.2582053509485256</v>
      </c>
    </row>
    <row r="17" spans="1:6">
      <c r="B17" s="6">
        <f>$A$25+($B$18-$A$25)*(9.9/10)</f>
        <v>9.382192278111825</v>
      </c>
      <c r="C17" s="6">
        <f t="shared" si="0"/>
        <v>8.7945291217988011</v>
      </c>
    </row>
    <row r="18" spans="1:6">
      <c r="A18" s="4" t="s">
        <v>16</v>
      </c>
      <c r="B18" s="6">
        <f>(($A$29-6)/$A$27)+$A$25</f>
        <v>9.4354272909999608</v>
      </c>
      <c r="C18" s="6">
        <f t="shared" si="0"/>
        <v>8.8227566886856579</v>
      </c>
    </row>
    <row r="19" spans="1:6">
      <c r="B19" s="6">
        <f>$B$18*1.2</f>
        <v>11.322512749199953</v>
      </c>
      <c r="C19" s="6">
        <f t="shared" si="0"/>
        <v>8.8227566886856579</v>
      </c>
    </row>
    <row r="20" spans="1:6">
      <c r="B20" s="6">
        <f>$B$18*1.4</f>
        <v>13.209598207399944</v>
      </c>
      <c r="C20" s="6">
        <f t="shared" si="0"/>
        <v>8.8227566886856579</v>
      </c>
    </row>
    <row r="21" spans="1:6">
      <c r="B21" s="6">
        <f>$B$18*1.6</f>
        <v>15.096683665599938</v>
      </c>
      <c r="C21" s="6">
        <f t="shared" si="0"/>
        <v>8.8227566886856579</v>
      </c>
    </row>
    <row r="23" spans="1:6">
      <c r="A23" s="1" t="s">
        <v>0</v>
      </c>
    </row>
    <row r="24" spans="1:6">
      <c r="A24" s="1" t="s">
        <v>23</v>
      </c>
      <c r="B24" s="3" t="s">
        <v>1</v>
      </c>
      <c r="C24" s="3" t="s">
        <v>2</v>
      </c>
      <c r="D24" s="3" t="s">
        <v>3</v>
      </c>
      <c r="E24" s="1" t="s">
        <v>4</v>
      </c>
    </row>
    <row r="25" spans="1:6">
      <c r="A25" s="6">
        <f>IF(B2&lt;E25,(B25/(B2-C25))^D25,2.01)</f>
        <v>4.1119260021863839</v>
      </c>
      <c r="B25" s="1">
        <v>40.32</v>
      </c>
      <c r="C25" s="1">
        <v>6.59</v>
      </c>
      <c r="D25" s="1">
        <v>1.47</v>
      </c>
      <c r="E25" s="1">
        <v>36.78</v>
      </c>
    </row>
    <row r="26" spans="1:6">
      <c r="A26" s="1" t="s">
        <v>24</v>
      </c>
      <c r="B26" s="1" t="s">
        <v>6</v>
      </c>
      <c r="C26" s="1" t="s">
        <v>7</v>
      </c>
      <c r="D26" s="1" t="s">
        <v>8</v>
      </c>
      <c r="E26" s="1" t="s">
        <v>9</v>
      </c>
    </row>
    <row r="27" spans="1:6">
      <c r="A27" s="7">
        <f>IF(B2&lt;=B27,0,IF(B2&gt;=C27,0,E27*((((B2-C27)*(B2-B27)))/((B2-B27)*(B2-C27)-(B2-D27)^2))))</f>
        <v>0.53024438908603166</v>
      </c>
      <c r="B27" s="1">
        <v>4.9800000000000004</v>
      </c>
      <c r="C27" s="1">
        <v>45.81</v>
      </c>
      <c r="D27" s="1">
        <v>40.54</v>
      </c>
      <c r="E27" s="1">
        <v>0.98</v>
      </c>
    </row>
    <row r="28" spans="1:6" ht="17.25">
      <c r="A28" s="1" t="s">
        <v>25</v>
      </c>
      <c r="B28" s="2" t="s">
        <v>10</v>
      </c>
      <c r="C28" s="1" t="s">
        <v>6</v>
      </c>
      <c r="D28" s="1" t="s">
        <v>7</v>
      </c>
      <c r="E28" s="1" t="s">
        <v>11</v>
      </c>
      <c r="F28" s="1" t="s">
        <v>12</v>
      </c>
    </row>
    <row r="29" spans="1:6">
      <c r="A29" s="7">
        <f>B29*(((B2-C29)*(B2-D29)))/((B2-E29)*(B2-F29))</f>
        <v>8.8227566886856579</v>
      </c>
      <c r="B29" s="1">
        <v>9.24</v>
      </c>
      <c r="C29" s="1">
        <v>5.88</v>
      </c>
      <c r="D29" s="1">
        <v>48.98</v>
      </c>
      <c r="E29" s="1">
        <v>5.18</v>
      </c>
      <c r="F29" s="1">
        <v>49.08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M23SE</vt:lpstr>
      <vt:lpstr>M23ST</vt:lpstr>
      <vt:lpstr>M23SD</vt:lpstr>
    </vt:vector>
  </TitlesOfParts>
  <Company>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toscar</dc:creator>
  <cp:lastModifiedBy>toscar</cp:lastModifiedBy>
  <dcterms:created xsi:type="dcterms:W3CDTF">2011-04-14T16:44:34Z</dcterms:created>
  <dcterms:modified xsi:type="dcterms:W3CDTF">2013-11-12T19:17:12Z</dcterms:modified>
</cp:coreProperties>
</file>